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</sheets>
  <definedNames>
    <definedName name="_xlnm._FilterDatabase" localSheetId="0" hidden="1">Sheet1!$A$1:$O$3340</definedName>
  </definedNames>
  <calcPr calcId="124519"/>
</workbook>
</file>

<file path=xl/calcChain.xml><?xml version="1.0" encoding="utf-8"?>
<calcChain xmlns="http://schemas.openxmlformats.org/spreadsheetml/2006/main">
  <c r="E3567" i="1"/>
  <c r="B3567"/>
  <c r="E3566"/>
  <c r="B3566"/>
  <c r="E3565"/>
  <c r="B3565"/>
  <c r="E3564"/>
  <c r="B3564"/>
  <c r="E3563"/>
  <c r="B3563"/>
  <c r="E3562"/>
  <c r="B3562"/>
  <c r="E3561"/>
  <c r="B3561"/>
  <c r="E3560"/>
  <c r="B3560"/>
  <c r="E3559"/>
  <c r="B3559"/>
  <c r="E3558"/>
  <c r="B3558"/>
  <c r="E3557"/>
  <c r="B3557"/>
  <c r="E3556"/>
  <c r="B3556"/>
  <c r="E3555"/>
  <c r="B3555"/>
  <c r="E3554"/>
  <c r="B3554"/>
  <c r="E3553"/>
  <c r="B3553"/>
  <c r="E3552"/>
  <c r="B3552"/>
  <c r="E3551"/>
  <c r="B3551"/>
  <c r="E3550"/>
  <c r="B3550"/>
  <c r="E3549"/>
  <c r="B3549"/>
  <c r="E3548"/>
  <c r="B3548"/>
  <c r="E3547"/>
  <c r="B3547"/>
  <c r="E3546"/>
  <c r="B3546"/>
  <c r="E3545"/>
  <c r="B3545"/>
  <c r="E3544"/>
  <c r="B3544"/>
  <c r="E3543"/>
  <c r="B3543"/>
  <c r="E3542"/>
  <c r="B3542"/>
  <c r="E3541"/>
  <c r="B3541"/>
  <c r="E3540"/>
  <c r="B3540"/>
  <c r="E3539"/>
  <c r="B3539"/>
  <c r="E3538"/>
  <c r="B3538"/>
  <c r="E3537"/>
  <c r="B3537"/>
  <c r="E3536"/>
  <c r="B3536"/>
  <c r="E3535"/>
  <c r="B3535"/>
  <c r="E3534"/>
  <c r="B3534"/>
  <c r="E3533"/>
  <c r="B3533"/>
  <c r="E3532"/>
  <c r="B3532"/>
  <c r="E3531"/>
  <c r="B3531"/>
  <c r="E3530"/>
  <c r="B3530"/>
  <c r="E3529"/>
  <c r="B3529"/>
  <c r="E3528"/>
  <c r="B3528"/>
  <c r="E3527"/>
  <c r="B3527"/>
  <c r="E3526"/>
  <c r="B3526"/>
  <c r="E3525"/>
  <c r="B3525"/>
  <c r="E3524"/>
  <c r="B3524"/>
  <c r="E3523"/>
  <c r="B3523"/>
  <c r="E3522"/>
  <c r="B3522"/>
  <c r="E3521"/>
  <c r="B3521"/>
  <c r="E3520"/>
  <c r="B3520"/>
  <c r="E3519"/>
  <c r="B3519"/>
  <c r="E3518"/>
  <c r="B3518"/>
  <c r="E3517"/>
  <c r="B3517"/>
  <c r="E3516"/>
  <c r="B3516"/>
  <c r="E3515"/>
  <c r="B3515"/>
  <c r="E3514"/>
  <c r="B3514"/>
  <c r="E3513"/>
  <c r="B3513"/>
  <c r="E3512"/>
  <c r="B3512"/>
  <c r="E3511"/>
  <c r="B3511"/>
  <c r="E3510"/>
  <c r="B3510"/>
  <c r="E3509"/>
  <c r="B3509"/>
  <c r="E3508"/>
  <c r="B3508"/>
  <c r="E3507"/>
  <c r="B3507"/>
  <c r="E3506"/>
  <c r="B3506"/>
  <c r="E3505"/>
  <c r="B3505"/>
  <c r="E3504"/>
  <c r="B3504"/>
  <c r="E3503"/>
  <c r="B3503"/>
  <c r="E3502"/>
  <c r="B3502"/>
  <c r="E3501"/>
  <c r="B3501"/>
  <c r="E3500"/>
  <c r="B3500"/>
  <c r="E3499"/>
  <c r="B3499"/>
  <c r="E3498"/>
  <c r="B3498"/>
  <c r="E3497"/>
  <c r="B3497"/>
  <c r="E3496"/>
  <c r="B3496"/>
  <c r="E3495"/>
  <c r="B3495"/>
  <c r="E3494"/>
  <c r="B3494"/>
  <c r="E3493"/>
  <c r="B3493"/>
  <c r="E3492"/>
  <c r="B3492"/>
  <c r="E3491"/>
  <c r="B3491"/>
  <c r="E3490"/>
  <c r="B3490"/>
  <c r="E3489"/>
  <c r="B3489"/>
  <c r="E3488"/>
  <c r="B3488"/>
  <c r="E3487"/>
  <c r="B3487"/>
  <c r="E3486"/>
  <c r="B3486"/>
  <c r="E3485"/>
  <c r="B3485"/>
  <c r="E3484"/>
  <c r="B3484"/>
  <c r="E3483"/>
  <c r="B3483"/>
  <c r="E3482"/>
  <c r="B3482"/>
  <c r="E3481"/>
  <c r="B3481"/>
  <c r="E3480"/>
  <c r="B3480"/>
  <c r="E3479"/>
  <c r="B3479"/>
  <c r="E3478"/>
  <c r="B3478"/>
  <c r="E3477"/>
  <c r="B3477"/>
  <c r="E3476"/>
  <c r="B3476"/>
  <c r="E3475"/>
  <c r="B3475"/>
  <c r="E3474"/>
  <c r="B3474"/>
  <c r="E3473"/>
  <c r="B3473"/>
  <c r="E3472"/>
  <c r="B3472"/>
  <c r="E3471"/>
  <c r="B3471"/>
  <c r="E3470"/>
  <c r="B3470"/>
  <c r="E3469"/>
  <c r="B3469"/>
  <c r="E3468"/>
  <c r="B3468"/>
  <c r="E3467"/>
  <c r="B3467"/>
  <c r="E3466"/>
  <c r="B3466"/>
  <c r="E3465"/>
  <c r="B3465"/>
  <c r="E3464"/>
  <c r="B3464"/>
  <c r="E3463"/>
  <c r="B3463"/>
  <c r="E3462"/>
  <c r="B3462"/>
  <c r="E3461"/>
  <c r="B3461"/>
  <c r="E3460"/>
  <c r="B3460"/>
  <c r="E3459"/>
  <c r="B3459"/>
  <c r="E3458"/>
  <c r="B3458"/>
  <c r="E3457"/>
  <c r="B3457"/>
  <c r="E3456"/>
  <c r="B3456"/>
  <c r="E3455"/>
  <c r="B3455"/>
  <c r="E3454"/>
  <c r="B3454"/>
  <c r="E3453"/>
  <c r="B3453"/>
  <c r="E3452"/>
  <c r="B3452"/>
  <c r="E3451"/>
  <c r="B3451"/>
  <c r="E3450"/>
  <c r="B3450"/>
  <c r="E3449"/>
  <c r="B3449"/>
  <c r="E3448"/>
  <c r="B3448"/>
  <c r="E3447"/>
  <c r="B3447"/>
  <c r="E3446"/>
  <c r="B3446"/>
  <c r="E3445"/>
  <c r="B3445"/>
  <c r="E3444"/>
  <c r="B3444"/>
  <c r="E3443"/>
  <c r="B3443"/>
  <c r="E3442"/>
  <c r="B3442"/>
  <c r="E3441"/>
  <c r="B3441"/>
  <c r="E3440"/>
  <c r="B3440"/>
  <c r="E3439"/>
  <c r="B3439"/>
  <c r="E3438"/>
  <c r="E3437"/>
  <c r="B3437"/>
  <c r="E3436"/>
  <c r="B3436"/>
  <c r="E3435"/>
  <c r="B3435"/>
  <c r="E3434"/>
  <c r="B3434"/>
  <c r="E3433"/>
  <c r="B3433"/>
  <c r="E3432"/>
  <c r="B3432"/>
  <c r="E3431"/>
  <c r="B3431"/>
  <c r="E3430"/>
  <c r="B3430"/>
  <c r="E3429"/>
  <c r="B3429"/>
  <c r="E3428"/>
  <c r="B3428"/>
  <c r="E3427"/>
  <c r="B3427"/>
  <c r="E3426"/>
  <c r="B3426"/>
  <c r="E3425"/>
  <c r="B3425"/>
  <c r="E3424"/>
  <c r="B3424"/>
  <c r="E3423"/>
  <c r="B3423"/>
  <c r="E3422"/>
  <c r="B3422"/>
  <c r="E3421"/>
  <c r="B3421"/>
  <c r="E3420"/>
  <c r="B3420"/>
  <c r="E3419"/>
  <c r="B3419"/>
  <c r="E3418"/>
  <c r="E3417"/>
  <c r="B3417"/>
  <c r="E3416"/>
  <c r="B3416"/>
  <c r="E3415"/>
  <c r="B3415"/>
  <c r="E3414"/>
  <c r="B3414"/>
  <c r="E3413"/>
  <c r="B3413"/>
  <c r="E3412"/>
  <c r="B3412"/>
  <c r="E3411"/>
  <c r="B3411"/>
  <c r="E3410"/>
  <c r="B3410"/>
  <c r="E3409"/>
  <c r="B3409"/>
  <c r="E3408"/>
  <c r="B3408"/>
  <c r="E3407"/>
  <c r="B3407"/>
  <c r="E3406"/>
  <c r="B3406"/>
  <c r="E3405"/>
  <c r="B3405"/>
  <c r="E3404"/>
  <c r="B3404"/>
  <c r="E3403"/>
  <c r="B3403"/>
  <c r="E3402"/>
  <c r="B3402"/>
  <c r="E3401"/>
  <c r="B3401"/>
  <c r="E3400"/>
  <c r="B3400"/>
  <c r="E3399"/>
  <c r="B3399"/>
  <c r="E3398"/>
  <c r="B3398"/>
  <c r="E3397"/>
  <c r="B3397"/>
  <c r="E3396"/>
  <c r="B3396"/>
  <c r="E3395"/>
  <c r="B3395"/>
  <c r="E3394"/>
  <c r="B3394"/>
  <c r="E3393"/>
  <c r="B3393"/>
  <c r="E3392"/>
  <c r="B3392"/>
  <c r="E3391"/>
  <c r="B3391"/>
  <c r="E3390"/>
  <c r="B3390"/>
  <c r="E3389"/>
  <c r="B3389"/>
  <c r="E3388"/>
  <c r="B3388"/>
  <c r="E3387"/>
  <c r="B3387"/>
  <c r="E3386"/>
  <c r="B3386"/>
  <c r="E3385"/>
  <c r="B3385"/>
  <c r="E3384"/>
  <c r="B3384"/>
  <c r="E3383"/>
  <c r="B3383"/>
  <c r="E3382"/>
  <c r="B3382"/>
  <c r="E3381"/>
  <c r="B3381"/>
  <c r="E3380"/>
  <c r="B3380"/>
  <c r="E3379"/>
  <c r="B3379"/>
  <c r="E3378"/>
  <c r="B3378"/>
  <c r="E3377"/>
  <c r="B3377"/>
  <c r="E3376"/>
  <c r="B3376"/>
  <c r="E3375"/>
  <c r="B3375"/>
  <c r="E3374"/>
  <c r="B3374"/>
  <c r="E3373"/>
  <c r="B3373"/>
  <c r="E3372"/>
  <c r="B3372"/>
  <c r="E3371"/>
  <c r="B3371"/>
  <c r="E3370"/>
  <c r="B3370"/>
  <c r="E3369"/>
  <c r="B3369"/>
  <c r="E3368"/>
  <c r="B3368"/>
  <c r="E3367"/>
  <c r="B3367"/>
  <c r="E3366"/>
  <c r="B3366"/>
  <c r="E3365"/>
  <c r="B3365"/>
  <c r="E3364"/>
  <c r="B3364"/>
  <c r="E3363"/>
  <c r="B3363"/>
  <c r="E3362"/>
  <c r="B3362"/>
  <c r="E3361"/>
  <c r="B3361"/>
  <c r="E3360"/>
  <c r="B3360"/>
  <c r="E3359"/>
  <c r="B3359"/>
  <c r="E3358"/>
  <c r="B3358"/>
  <c r="E3357"/>
  <c r="B3357"/>
  <c r="E3356"/>
  <c r="B3356"/>
  <c r="E3355"/>
  <c r="B3355"/>
  <c r="E3354"/>
  <c r="B3354"/>
  <c r="E3353"/>
  <c r="B3353"/>
  <c r="E3352"/>
  <c r="B3352"/>
  <c r="E3351"/>
  <c r="B3351"/>
  <c r="E3350"/>
  <c r="B3350"/>
  <c r="E3349"/>
  <c r="B3349"/>
  <c r="E3348"/>
  <c r="B3348"/>
  <c r="E3347"/>
  <c r="B3347"/>
  <c r="E3346"/>
  <c r="B3346"/>
  <c r="E3345"/>
  <c r="B3345"/>
  <c r="E3344"/>
  <c r="B3344"/>
  <c r="E3343"/>
  <c r="B3343"/>
  <c r="E3342"/>
  <c r="B3342"/>
  <c r="E3341"/>
  <c r="B3341"/>
  <c r="E3340"/>
  <c r="B3340"/>
  <c r="E3339"/>
  <c r="B3339"/>
  <c r="E3338"/>
  <c r="B3338"/>
  <c r="E3337"/>
  <c r="B3337"/>
  <c r="E3336"/>
  <c r="B3336"/>
  <c r="E3335"/>
  <c r="B3335"/>
  <c r="E3334"/>
  <c r="B3334"/>
  <c r="E3333"/>
  <c r="B3333"/>
  <c r="E3332"/>
  <c r="B3332"/>
  <c r="E3331"/>
  <c r="B3331"/>
  <c r="E3330"/>
  <c r="B3330"/>
  <c r="E3329"/>
  <c r="B3329"/>
  <c r="E3328"/>
  <c r="B3328"/>
  <c r="E3327"/>
  <c r="B3327"/>
  <c r="E3326"/>
  <c r="B3326"/>
  <c r="E3325"/>
  <c r="B3325"/>
  <c r="E3324"/>
  <c r="B3324"/>
  <c r="E3323"/>
  <c r="B3323"/>
  <c r="E3322"/>
  <c r="B3322"/>
  <c r="E3321"/>
  <c r="B3321"/>
  <c r="E3320"/>
  <c r="B3320"/>
  <c r="E3319"/>
  <c r="B3319"/>
  <c r="E3318"/>
  <c r="B3318"/>
  <c r="E3317"/>
  <c r="B3317"/>
  <c r="E3316"/>
  <c r="B3316"/>
  <c r="E3315"/>
  <c r="B3315"/>
  <c r="E3314"/>
  <c r="B3314"/>
  <c r="E3313"/>
  <c r="B3313"/>
  <c r="E3312"/>
  <c r="B3312"/>
  <c r="E3311"/>
  <c r="B3311"/>
  <c r="E3310"/>
  <c r="B3310"/>
  <c r="E3309"/>
  <c r="B3309"/>
  <c r="E3308"/>
  <c r="B3308"/>
  <c r="E3307"/>
  <c r="B3307"/>
  <c r="E3306"/>
  <c r="B3306"/>
  <c r="E3305"/>
  <c r="B3305"/>
  <c r="E3304"/>
  <c r="B3304"/>
  <c r="E3303"/>
  <c r="B3303"/>
  <c r="E3302"/>
  <c r="B3302"/>
  <c r="E3301"/>
  <c r="B3301"/>
  <c r="E3300"/>
  <c r="B3300"/>
  <c r="E3299"/>
  <c r="B3299"/>
  <c r="E3298"/>
  <c r="B3298"/>
  <c r="E3297"/>
  <c r="B3297"/>
  <c r="E3296"/>
  <c r="B3296"/>
  <c r="E3295"/>
  <c r="B3295"/>
  <c r="E3294"/>
  <c r="B3294"/>
  <c r="E3293"/>
  <c r="B3293"/>
  <c r="E3292"/>
  <c r="B3292"/>
  <c r="E3291"/>
  <c r="B3291"/>
  <c r="E3290"/>
  <c r="B3290"/>
  <c r="E3289"/>
  <c r="B3289"/>
  <c r="E3288"/>
  <c r="B3288"/>
  <c r="E3287"/>
  <c r="B3287"/>
  <c r="E3286"/>
  <c r="B3286"/>
  <c r="E3285"/>
  <c r="B3285"/>
  <c r="E3284"/>
  <c r="B3284"/>
  <c r="E3283"/>
  <c r="B3283"/>
  <c r="E3282"/>
  <c r="B3282"/>
  <c r="E3281"/>
  <c r="B3281"/>
  <c r="E3280"/>
  <c r="B3280"/>
  <c r="E3279"/>
  <c r="B3279"/>
  <c r="E3278"/>
  <c r="B3278"/>
  <c r="E3277"/>
  <c r="B3277"/>
  <c r="E3276"/>
  <c r="B3276"/>
  <c r="E3275"/>
  <c r="B3275"/>
  <c r="E3274"/>
  <c r="B3274"/>
  <c r="E3273"/>
  <c r="B3273"/>
  <c r="E3272"/>
  <c r="B3272"/>
  <c r="E3271"/>
  <c r="B3271"/>
  <c r="E3270"/>
  <c r="B3270"/>
  <c r="E3269"/>
  <c r="B3269"/>
  <c r="E3268"/>
  <c r="B3268"/>
  <c r="E3267"/>
  <c r="B3267"/>
  <c r="E3266"/>
  <c r="B3266"/>
  <c r="E3265"/>
  <c r="B3265"/>
  <c r="E3264"/>
  <c r="B3264"/>
  <c r="E3263"/>
  <c r="B3263"/>
  <c r="E3262"/>
  <c r="B3262"/>
  <c r="E3261"/>
  <c r="B3261"/>
  <c r="E3260"/>
  <c r="B3260"/>
  <c r="E3259"/>
  <c r="B3259"/>
  <c r="E3258"/>
  <c r="B3258"/>
  <c r="E3257"/>
  <c r="B3257"/>
  <c r="E3256"/>
  <c r="B3256"/>
  <c r="E3255"/>
  <c r="B3255"/>
  <c r="E3254"/>
  <c r="B3254"/>
  <c r="E3253"/>
  <c r="B3253"/>
  <c r="E3252"/>
  <c r="B3252"/>
  <c r="E3251"/>
  <c r="B3251"/>
  <c r="E3250"/>
  <c r="B3250"/>
  <c r="E3249"/>
  <c r="B3249"/>
  <c r="E3248"/>
  <c r="B3248"/>
  <c r="E3247"/>
  <c r="B3247"/>
  <c r="E3246"/>
  <c r="B3246"/>
  <c r="E3245"/>
  <c r="B3245"/>
  <c r="E3244"/>
  <c r="B3244"/>
  <c r="E3243"/>
  <c r="B3243"/>
  <c r="E3242"/>
  <c r="B3242"/>
  <c r="E3241"/>
  <c r="B3241"/>
  <c r="E3240"/>
  <c r="B3240"/>
  <c r="E3239"/>
  <c r="B3239"/>
  <c r="E3238"/>
  <c r="B3238"/>
  <c r="E3237"/>
  <c r="B3237"/>
  <c r="E3236"/>
  <c r="B3236"/>
  <c r="E3235"/>
  <c r="B3235"/>
  <c r="E3234"/>
  <c r="B3234"/>
  <c r="E3233"/>
  <c r="B3233"/>
  <c r="E3232"/>
  <c r="B3232"/>
  <c r="E3231"/>
  <c r="B3231"/>
  <c r="E3230"/>
  <c r="B3230"/>
  <c r="E3229"/>
  <c r="B3229"/>
  <c r="E3228"/>
  <c r="B3228"/>
  <c r="E3227"/>
  <c r="B3227"/>
  <c r="E3226"/>
  <c r="B3226"/>
  <c r="E3225"/>
  <c r="B3225"/>
  <c r="E3224"/>
  <c r="B3224"/>
  <c r="E3223"/>
  <c r="B3223"/>
  <c r="E3222"/>
  <c r="B3222"/>
  <c r="E3221"/>
  <c r="B3221"/>
  <c r="E3220"/>
  <c r="B3220"/>
  <c r="E3219"/>
  <c r="B3219"/>
  <c r="E3218"/>
  <c r="B3218"/>
  <c r="E3217"/>
  <c r="B3217"/>
  <c r="E3216"/>
  <c r="B3216"/>
  <c r="E3215"/>
  <c r="B3215"/>
  <c r="E3214"/>
  <c r="B3214"/>
  <c r="E3213"/>
  <c r="B3213"/>
  <c r="E3212"/>
  <c r="B3212"/>
  <c r="E3211"/>
  <c r="B3211"/>
  <c r="E3210"/>
  <c r="B3210"/>
  <c r="E3209"/>
  <c r="B3209"/>
  <c r="E3208"/>
  <c r="B3208"/>
  <c r="E3207"/>
  <c r="B3207"/>
  <c r="E3206"/>
  <c r="B3206"/>
  <c r="E3205"/>
  <c r="B3205"/>
  <c r="E3204"/>
  <c r="B3204"/>
  <c r="E3203"/>
  <c r="B3203"/>
  <c r="E3202"/>
  <c r="B3202"/>
  <c r="E3201"/>
  <c r="B3201"/>
  <c r="E3200"/>
  <c r="B3200"/>
  <c r="E3199"/>
  <c r="B3199"/>
  <c r="E3198"/>
  <c r="B3198"/>
  <c r="E3197"/>
  <c r="B3197"/>
  <c r="E3196"/>
  <c r="B3196"/>
  <c r="E3195"/>
  <c r="B3195"/>
  <c r="E3194"/>
  <c r="B3194"/>
  <c r="E3193"/>
  <c r="B3193"/>
  <c r="E3192"/>
  <c r="B3192"/>
  <c r="E3191"/>
  <c r="B3191"/>
  <c r="E3190"/>
  <c r="B3190"/>
  <c r="E3189"/>
  <c r="B3189"/>
  <c r="E3188"/>
  <c r="B3188"/>
  <c r="E3187"/>
  <c r="B3187"/>
  <c r="E3186"/>
  <c r="B3186"/>
  <c r="E3185"/>
  <c r="B3185"/>
  <c r="E3184"/>
  <c r="B3184"/>
  <c r="E3183"/>
  <c r="B3183"/>
  <c r="E3182"/>
  <c r="B3182"/>
  <c r="E3181"/>
  <c r="B3181"/>
  <c r="E3180"/>
  <c r="B3180"/>
  <c r="E3179"/>
  <c r="B3179"/>
  <c r="E3178"/>
  <c r="B3178"/>
  <c r="E3177"/>
  <c r="B3177"/>
  <c r="E3176"/>
  <c r="B3176"/>
  <c r="E3175"/>
  <c r="B3175"/>
  <c r="E3174"/>
  <c r="B3174"/>
  <c r="E3173"/>
  <c r="B3173"/>
  <c r="E3172"/>
  <c r="B3172"/>
  <c r="E3171"/>
  <c r="B3171"/>
  <c r="E3170"/>
  <c r="B3170"/>
  <c r="E3169"/>
  <c r="B3169"/>
  <c r="E3168"/>
  <c r="B3168"/>
  <c r="E3167"/>
  <c r="B3167"/>
  <c r="E3166"/>
  <c r="B3166"/>
  <c r="E3165"/>
  <c r="B3165"/>
  <c r="E3164"/>
  <c r="B3164"/>
  <c r="E3163"/>
  <c r="B3163"/>
  <c r="E3162"/>
  <c r="B3162"/>
  <c r="E3161"/>
  <c r="B3161"/>
  <c r="E3160"/>
  <c r="B3160"/>
  <c r="E3159"/>
  <c r="B3159"/>
  <c r="E3158"/>
  <c r="B3158"/>
  <c r="E3157"/>
  <c r="B3157"/>
  <c r="E3156"/>
  <c r="B3156"/>
  <c r="E3155"/>
  <c r="B3155"/>
  <c r="E3154"/>
  <c r="B3154"/>
  <c r="E3153"/>
  <c r="B3153"/>
  <c r="E3152"/>
  <c r="B3152"/>
  <c r="E3151"/>
  <c r="B3151"/>
  <c r="E3150"/>
  <c r="B3150"/>
  <c r="E3149"/>
  <c r="B3149"/>
  <c r="E3148"/>
  <c r="B3148"/>
  <c r="E3147"/>
  <c r="B3147"/>
  <c r="E3146"/>
  <c r="B3146"/>
  <c r="E3145"/>
  <c r="B3145"/>
  <c r="E3144"/>
  <c r="B3144"/>
  <c r="E3143"/>
  <c r="B3143"/>
  <c r="E3142"/>
  <c r="B3142"/>
  <c r="E3141"/>
  <c r="B3141"/>
  <c r="E3140"/>
  <c r="B3140"/>
  <c r="E3139"/>
  <c r="B3139"/>
  <c r="E3138"/>
  <c r="B3138"/>
  <c r="E3137"/>
  <c r="B3137"/>
  <c r="E3136"/>
  <c r="B3136"/>
  <c r="E3135"/>
  <c r="B3135"/>
  <c r="E3134"/>
  <c r="B3134"/>
  <c r="E3133"/>
  <c r="B3133"/>
  <c r="E3132"/>
  <c r="B3132"/>
  <c r="E3131"/>
  <c r="B3131"/>
  <c r="E3130"/>
  <c r="B3130"/>
  <c r="E3129"/>
  <c r="B3129"/>
  <c r="E3128"/>
  <c r="B3128"/>
  <c r="E3127"/>
  <c r="B3127"/>
  <c r="E3126"/>
  <c r="B3126"/>
  <c r="E3125"/>
  <c r="B3125"/>
  <c r="E3124"/>
  <c r="B3124"/>
  <c r="E3123"/>
  <c r="B3123"/>
  <c r="E3122"/>
  <c r="B3122"/>
  <c r="E3121"/>
  <c r="B3121"/>
  <c r="E3120"/>
  <c r="B3120"/>
  <c r="E3119"/>
  <c r="B3119"/>
  <c r="E3118"/>
  <c r="B3118"/>
  <c r="E3117"/>
  <c r="B3117"/>
  <c r="E3116"/>
  <c r="B3116"/>
  <c r="E3115"/>
  <c r="B3115"/>
  <c r="E3114"/>
  <c r="B3114"/>
  <c r="E3113"/>
  <c r="B3113"/>
  <c r="E3112"/>
  <c r="B3112"/>
  <c r="E3111"/>
  <c r="B3111"/>
  <c r="E3110"/>
  <c r="B3110"/>
  <c r="E3109"/>
  <c r="B3109"/>
  <c r="E3108"/>
  <c r="B3108"/>
  <c r="E3107"/>
  <c r="B3107"/>
  <c r="E3106"/>
  <c r="B3106"/>
  <c r="E3105"/>
  <c r="B3105"/>
  <c r="E3104"/>
  <c r="B3104"/>
  <c r="E3103"/>
  <c r="B3103"/>
  <c r="E3102"/>
  <c r="B3102"/>
  <c r="E3101"/>
  <c r="B3101"/>
  <c r="E3100"/>
  <c r="B3100"/>
  <c r="E3099"/>
  <c r="B3099"/>
  <c r="E3098"/>
  <c r="B3098"/>
  <c r="E3097"/>
  <c r="B3097"/>
  <c r="E3096"/>
  <c r="B3096"/>
  <c r="E3095"/>
  <c r="B3095"/>
  <c r="E3094"/>
  <c r="B3094"/>
  <c r="E3093"/>
  <c r="B3093"/>
  <c r="E3092"/>
  <c r="B3092"/>
  <c r="E3091"/>
  <c r="B3091"/>
  <c r="E3090"/>
  <c r="B3090"/>
  <c r="E3089"/>
  <c r="B3089"/>
  <c r="E3088"/>
  <c r="B3088"/>
  <c r="E3087"/>
  <c r="B3087"/>
  <c r="E3086"/>
  <c r="B3086"/>
  <c r="E3085"/>
  <c r="B3085"/>
  <c r="E3084"/>
  <c r="B3084"/>
  <c r="E3083"/>
  <c r="B3083"/>
  <c r="E3082"/>
  <c r="B3082"/>
  <c r="E3081"/>
  <c r="B3081"/>
  <c r="E3080"/>
  <c r="B3080"/>
  <c r="E3079"/>
  <c r="B3079"/>
  <c r="E3078"/>
  <c r="B3078"/>
  <c r="E3077"/>
  <c r="B3077"/>
  <c r="E3076"/>
  <c r="B3076"/>
  <c r="E3075"/>
  <c r="B3075"/>
  <c r="E3074"/>
  <c r="B3074"/>
  <c r="E3073"/>
  <c r="B3073"/>
  <c r="E3072"/>
  <c r="B3072"/>
  <c r="E3071"/>
  <c r="B3071"/>
  <c r="E3070"/>
  <c r="B3070"/>
  <c r="E3069"/>
  <c r="B3069"/>
  <c r="E3068"/>
  <c r="B3068"/>
  <c r="E3067"/>
  <c r="B3067"/>
  <c r="E3066"/>
  <c r="B3066"/>
  <c r="E3065"/>
  <c r="B3065"/>
  <c r="E3064"/>
  <c r="B3064"/>
  <c r="E3063"/>
  <c r="B3063"/>
  <c r="E3062"/>
  <c r="B3062"/>
  <c r="E3061"/>
  <c r="B3061"/>
  <c r="E3060"/>
  <c r="B3060"/>
  <c r="E3059"/>
  <c r="B3059"/>
  <c r="E3058"/>
  <c r="B3058"/>
  <c r="E3057"/>
  <c r="B3057"/>
  <c r="E3056"/>
  <c r="B3056"/>
  <c r="E3055"/>
  <c r="B3055"/>
  <c r="E3054"/>
  <c r="B3054"/>
  <c r="E3053"/>
  <c r="B3053"/>
  <c r="E3052"/>
  <c r="B3052"/>
  <c r="E3051"/>
  <c r="B3051"/>
  <c r="E3050"/>
  <c r="B3050"/>
  <c r="E3049"/>
  <c r="B3049"/>
  <c r="E3048"/>
  <c r="B3048"/>
  <c r="E3047"/>
  <c r="B3047"/>
  <c r="E3046"/>
  <c r="B3046"/>
  <c r="E3045"/>
  <c r="B3045"/>
  <c r="E3044"/>
  <c r="B3044"/>
  <c r="E3043"/>
  <c r="B3043"/>
  <c r="E3042"/>
  <c r="B3042"/>
  <c r="E3041"/>
  <c r="B3041"/>
  <c r="E3040"/>
  <c r="B3040"/>
  <c r="E3039"/>
  <c r="B3039"/>
  <c r="E3038"/>
  <c r="B3038"/>
  <c r="E3037"/>
  <c r="B3037"/>
  <c r="E3036"/>
  <c r="B3036"/>
  <c r="E3035"/>
  <c r="B3035"/>
  <c r="E3034"/>
  <c r="B3034"/>
  <c r="E3033"/>
  <c r="B3033"/>
  <c r="E3032"/>
  <c r="B3032"/>
  <c r="E3031"/>
  <c r="B3031"/>
  <c r="E3030"/>
  <c r="B3030"/>
  <c r="E3029"/>
  <c r="B3029"/>
  <c r="E3028"/>
  <c r="B3028"/>
  <c r="E3027"/>
  <c r="B3027"/>
  <c r="E3026"/>
  <c r="B3026"/>
  <c r="E3025"/>
  <c r="B3025"/>
  <c r="E3024"/>
  <c r="B3024"/>
  <c r="E3023"/>
  <c r="B3023"/>
  <c r="E3022"/>
  <c r="B3022"/>
  <c r="E3021"/>
  <c r="B3021"/>
  <c r="E3020"/>
  <c r="B3020"/>
  <c r="E3019"/>
  <c r="B3019"/>
  <c r="E3018"/>
  <c r="B3018"/>
  <c r="E3017"/>
  <c r="B3017"/>
  <c r="E3016"/>
  <c r="B3016"/>
  <c r="E3015"/>
  <c r="B3015"/>
  <c r="E3014"/>
  <c r="B3014"/>
  <c r="E3013"/>
  <c r="B3013"/>
  <c r="E3012"/>
  <c r="B3012"/>
  <c r="E3011"/>
  <c r="B3011"/>
  <c r="E3010"/>
  <c r="B3010"/>
  <c r="E3009"/>
  <c r="B3009"/>
  <c r="E3008"/>
  <c r="B3008"/>
  <c r="E3007"/>
  <c r="B3007"/>
  <c r="E3006"/>
  <c r="B3006"/>
  <c r="E3005"/>
  <c r="B3005"/>
  <c r="E3004"/>
  <c r="B3004"/>
  <c r="E3003"/>
  <c r="B3003"/>
  <c r="E3002"/>
  <c r="B3002"/>
  <c r="E3001"/>
  <c r="B3001"/>
  <c r="E3000"/>
  <c r="B3000"/>
  <c r="E2999"/>
  <c r="B2999"/>
  <c r="E2998"/>
  <c r="B2998"/>
  <c r="E2997"/>
  <c r="B2997"/>
  <c r="E2996"/>
  <c r="B2996"/>
  <c r="E2995"/>
  <c r="B2995"/>
  <c r="E2994"/>
  <c r="B2994"/>
  <c r="E2993"/>
  <c r="B2993"/>
  <c r="E2992"/>
  <c r="B2992"/>
  <c r="E2991"/>
  <c r="B2991"/>
  <c r="E2990"/>
  <c r="B2990"/>
  <c r="E2989"/>
  <c r="B2989"/>
  <c r="E2988"/>
  <c r="B2988"/>
  <c r="E2987"/>
  <c r="B2987"/>
  <c r="E2986"/>
  <c r="B2986"/>
  <c r="E2985"/>
  <c r="B2985"/>
  <c r="E2984"/>
  <c r="B2984"/>
  <c r="E2983"/>
  <c r="B2983"/>
  <c r="E2982"/>
  <c r="B2982"/>
  <c r="E2981"/>
  <c r="B2981"/>
  <c r="E2980"/>
  <c r="B2980"/>
  <c r="E2979"/>
  <c r="B2979"/>
  <c r="E2978"/>
  <c r="B2978"/>
  <c r="E2977"/>
  <c r="B2977"/>
  <c r="E2976"/>
  <c r="B2976"/>
  <c r="E2975"/>
  <c r="B2975"/>
  <c r="E2974"/>
  <c r="B2974"/>
  <c r="E2973"/>
  <c r="B2973"/>
  <c r="E2972"/>
  <c r="B2972"/>
  <c r="E2971"/>
  <c r="B2971"/>
  <c r="E2970"/>
  <c r="B2970"/>
  <c r="E2969"/>
  <c r="B2969"/>
  <c r="E2968"/>
  <c r="B2968"/>
  <c r="E2967"/>
  <c r="B2967"/>
  <c r="E2966"/>
  <c r="B2966"/>
  <c r="E2965"/>
  <c r="B2965"/>
  <c r="E2964"/>
  <c r="B2964"/>
  <c r="E2963"/>
  <c r="B2963"/>
  <c r="E2962"/>
  <c r="B2962"/>
  <c r="E2961"/>
  <c r="B2961"/>
  <c r="E2960"/>
  <c r="B2960"/>
  <c r="E2959"/>
  <c r="B2959"/>
  <c r="E2958"/>
  <c r="B2958"/>
  <c r="E2957"/>
  <c r="B2957"/>
  <c r="E2956"/>
  <c r="B2956"/>
  <c r="E2955"/>
  <c r="B2955"/>
  <c r="E2954"/>
  <c r="B2954"/>
  <c r="E2953"/>
  <c r="B2953"/>
  <c r="E2952"/>
  <c r="B2952"/>
  <c r="E2951"/>
  <c r="B2951"/>
  <c r="E2950"/>
  <c r="B2950"/>
  <c r="E2949"/>
  <c r="B2949"/>
  <c r="E2948"/>
  <c r="B2948"/>
  <c r="E2947"/>
  <c r="B2947"/>
  <c r="E2946"/>
  <c r="B2946"/>
  <c r="E2945"/>
  <c r="B2945"/>
  <c r="E2944"/>
  <c r="B2944"/>
  <c r="E2943"/>
  <c r="B2943"/>
  <c r="E2942"/>
  <c r="B2942"/>
  <c r="E2941"/>
  <c r="B2941"/>
  <c r="E2940"/>
  <c r="B2940"/>
  <c r="E2939"/>
  <c r="B2939"/>
  <c r="E2938"/>
  <c r="B2938"/>
  <c r="E2937"/>
  <c r="B2937"/>
  <c r="E2936"/>
  <c r="B2936"/>
  <c r="E2935"/>
  <c r="B2935"/>
  <c r="E2934"/>
  <c r="B2934"/>
  <c r="E2933"/>
  <c r="B2933"/>
  <c r="E2932"/>
  <c r="B2932"/>
  <c r="E2931"/>
  <c r="B2931"/>
  <c r="E2930"/>
  <c r="B2930"/>
  <c r="E2929"/>
  <c r="B2929"/>
  <c r="E2928"/>
  <c r="B2928"/>
  <c r="E2927"/>
  <c r="B2927"/>
  <c r="E2926"/>
  <c r="B2926"/>
  <c r="E2925"/>
  <c r="B2925"/>
  <c r="E2924"/>
  <c r="B2924"/>
  <c r="E2923"/>
  <c r="B2923"/>
  <c r="E2922"/>
  <c r="B2922"/>
  <c r="E2921"/>
  <c r="B2921"/>
  <c r="E2920"/>
  <c r="B2920"/>
  <c r="E2919"/>
  <c r="B2919"/>
  <c r="E2918"/>
  <c r="B2918"/>
  <c r="E2917"/>
  <c r="B2917"/>
  <c r="E2916"/>
  <c r="B2916"/>
  <c r="E2915"/>
  <c r="B2915"/>
  <c r="E2914"/>
  <c r="B2914"/>
  <c r="E2913"/>
  <c r="B2913"/>
  <c r="E2912"/>
  <c r="B2912"/>
  <c r="E2911"/>
  <c r="B2911"/>
  <c r="E2910"/>
  <c r="B2910"/>
  <c r="E2909"/>
  <c r="B2909"/>
  <c r="E2908"/>
  <c r="B2908"/>
  <c r="E2907"/>
  <c r="B2907"/>
  <c r="E2906"/>
  <c r="B2906"/>
  <c r="E2905"/>
  <c r="B2905"/>
  <c r="E2904"/>
  <c r="B2904"/>
  <c r="E2903"/>
  <c r="B2903"/>
  <c r="E2902"/>
  <c r="B2902"/>
  <c r="E2901"/>
  <c r="B2901"/>
  <c r="E2900"/>
  <c r="B2900"/>
  <c r="E2899"/>
  <c r="B2899"/>
  <c r="E2898"/>
  <c r="B2898"/>
  <c r="E2897"/>
  <c r="B2897"/>
  <c r="E2896"/>
  <c r="B2896"/>
  <c r="E2895"/>
  <c r="B2895"/>
  <c r="E2894"/>
  <c r="B2894"/>
  <c r="E2893"/>
  <c r="B2893"/>
  <c r="E2892"/>
  <c r="B2892"/>
  <c r="E2891"/>
  <c r="B2891"/>
  <c r="E2890"/>
  <c r="B2890"/>
  <c r="E2889"/>
  <c r="B2889"/>
  <c r="E2888"/>
  <c r="B2888"/>
  <c r="E2887"/>
  <c r="B2887"/>
  <c r="E2886"/>
  <c r="B2886"/>
  <c r="E2885"/>
  <c r="B2885"/>
  <c r="E2884"/>
  <c r="B2884"/>
  <c r="E2883"/>
  <c r="B2883"/>
  <c r="E2882"/>
  <c r="B2882"/>
  <c r="E2881"/>
  <c r="B2881"/>
  <c r="E2880"/>
  <c r="B2880"/>
  <c r="E2879"/>
  <c r="B2879"/>
  <c r="E2878"/>
  <c r="B2878"/>
  <c r="E2877"/>
  <c r="B2877"/>
  <c r="E2876"/>
  <c r="B2876"/>
  <c r="E2875"/>
  <c r="B2875"/>
  <c r="E2874"/>
  <c r="B2874"/>
  <c r="E2873"/>
  <c r="B2873"/>
  <c r="E2872"/>
  <c r="B2872"/>
  <c r="E2871"/>
  <c r="B2871"/>
  <c r="E2870"/>
  <c r="B2870"/>
  <c r="E2869"/>
  <c r="B2869"/>
  <c r="E2868"/>
  <c r="B2868"/>
  <c r="E2867"/>
  <c r="B2867"/>
  <c r="E2866"/>
  <c r="B2866"/>
  <c r="E2865"/>
  <c r="B2865"/>
  <c r="E2864"/>
  <c r="B2864"/>
  <c r="E2863"/>
  <c r="B2863"/>
  <c r="E2862"/>
  <c r="B2862"/>
  <c r="E2861"/>
  <c r="B2861"/>
  <c r="E2860"/>
  <c r="B2860"/>
  <c r="E2859"/>
  <c r="B2859"/>
  <c r="E2858"/>
  <c r="B2858"/>
  <c r="E2857"/>
  <c r="B2857"/>
  <c r="E2856"/>
  <c r="B2856"/>
  <c r="E2855"/>
  <c r="B2855"/>
  <c r="E2854"/>
  <c r="B2854"/>
  <c r="E2853"/>
  <c r="B2853"/>
  <c r="E2852"/>
  <c r="B2852"/>
  <c r="E2851"/>
  <c r="B2851"/>
  <c r="E2850"/>
  <c r="B2850"/>
  <c r="E2849"/>
  <c r="B2849"/>
  <c r="E2848"/>
  <c r="B2848"/>
  <c r="E2847"/>
  <c r="B2847"/>
  <c r="E2846"/>
  <c r="B2846"/>
  <c r="E2845"/>
  <c r="B2845"/>
  <c r="E2844"/>
  <c r="B2844"/>
  <c r="E2843"/>
  <c r="B2843"/>
  <c r="E2842"/>
  <c r="B2842"/>
  <c r="E2841"/>
  <c r="B2841"/>
  <c r="E2840"/>
  <c r="B2840"/>
  <c r="E2839"/>
  <c r="B2839"/>
  <c r="E2838"/>
  <c r="B2838"/>
  <c r="E2837"/>
  <c r="B2837"/>
  <c r="E2836"/>
  <c r="B2836"/>
  <c r="E2835"/>
  <c r="B2835"/>
  <c r="E2834"/>
  <c r="B2834"/>
  <c r="E2833"/>
  <c r="B2833"/>
  <c r="E2832"/>
  <c r="B2832"/>
  <c r="E2831"/>
  <c r="B2831"/>
  <c r="E2830"/>
  <c r="B2830"/>
  <c r="E2829"/>
  <c r="B2829"/>
  <c r="E2828"/>
  <c r="B2828"/>
  <c r="E2827"/>
  <c r="B2827"/>
  <c r="E2826"/>
  <c r="B2826"/>
  <c r="E2825"/>
  <c r="B2825"/>
  <c r="E2824"/>
  <c r="B2824"/>
  <c r="E2823"/>
  <c r="B2823"/>
  <c r="E2822"/>
  <c r="B2822"/>
  <c r="E2821"/>
  <c r="B2821"/>
  <c r="E2820"/>
  <c r="B2820"/>
  <c r="E2819"/>
  <c r="B2819"/>
  <c r="E2818"/>
  <c r="B2818"/>
  <c r="E2817"/>
  <c r="B2817"/>
  <c r="E2816"/>
  <c r="B2816"/>
  <c r="E2815"/>
  <c r="B2815"/>
  <c r="E2814"/>
  <c r="B2814"/>
  <c r="E2813"/>
  <c r="B2813"/>
  <c r="E2812"/>
  <c r="B2812"/>
  <c r="E2811"/>
  <c r="B2811"/>
  <c r="E2810"/>
  <c r="B2810"/>
  <c r="E2809"/>
  <c r="B2809"/>
  <c r="E2808"/>
  <c r="B2808"/>
  <c r="E2807"/>
  <c r="B2807"/>
  <c r="E2806"/>
  <c r="B2806"/>
  <c r="E2805"/>
  <c r="B2805"/>
  <c r="E2804"/>
  <c r="B2804"/>
  <c r="E2803"/>
  <c r="B2803"/>
  <c r="E2802"/>
  <c r="B2802"/>
  <c r="E2801"/>
  <c r="B2801"/>
  <c r="E2800"/>
  <c r="B2800"/>
  <c r="E2799"/>
  <c r="B2799"/>
  <c r="E2798"/>
  <c r="B2798"/>
  <c r="E2797"/>
  <c r="B2797"/>
  <c r="E2796"/>
  <c r="B2796"/>
  <c r="E2795"/>
  <c r="B2795"/>
  <c r="E2794"/>
  <c r="B2794"/>
  <c r="E2793"/>
  <c r="B2793"/>
  <c r="E2792"/>
  <c r="B2792"/>
  <c r="E2791"/>
  <c r="B2791"/>
  <c r="E2790"/>
  <c r="B2790"/>
  <c r="E2789"/>
  <c r="B2789"/>
  <c r="E2788"/>
  <c r="B2788"/>
  <c r="E2787"/>
  <c r="B2787"/>
  <c r="E2786"/>
  <c r="B2786"/>
  <c r="E2785"/>
  <c r="B2785"/>
  <c r="E2784"/>
  <c r="B2784"/>
  <c r="E2783"/>
  <c r="B2783"/>
  <c r="E2782"/>
  <c r="B2782"/>
  <c r="E2781"/>
  <c r="B2781"/>
  <c r="E2780"/>
  <c r="B2780"/>
  <c r="E2779"/>
  <c r="B2779"/>
  <c r="E2778"/>
  <c r="B2778"/>
  <c r="E2777"/>
  <c r="B2777"/>
  <c r="E2776"/>
  <c r="B2776"/>
  <c r="E2775"/>
  <c r="B2775"/>
  <c r="E2774"/>
  <c r="B2774"/>
  <c r="E2773"/>
  <c r="B2773"/>
  <c r="E2772"/>
  <c r="B2772"/>
  <c r="E2771"/>
  <c r="B2771"/>
  <c r="E2770"/>
  <c r="B2770"/>
  <c r="E2769"/>
  <c r="B2769"/>
  <c r="E2768"/>
  <c r="B2768"/>
  <c r="E2767"/>
  <c r="B2767"/>
  <c r="E2766"/>
  <c r="B2766"/>
  <c r="E2765"/>
  <c r="B2765"/>
  <c r="E2764"/>
  <c r="B2764"/>
  <c r="E2763"/>
  <c r="B2763"/>
  <c r="E2762"/>
  <c r="B2762"/>
  <c r="E2761"/>
  <c r="B2761"/>
  <c r="E2760"/>
  <c r="B2760"/>
  <c r="E2759"/>
  <c r="B2759"/>
  <c r="E2758"/>
  <c r="B2758"/>
  <c r="E2757"/>
  <c r="B2757"/>
  <c r="E2756"/>
  <c r="B2756"/>
  <c r="E2755"/>
  <c r="B2755"/>
  <c r="E2754"/>
  <c r="B2754"/>
  <c r="E2753"/>
  <c r="B2753"/>
  <c r="E2752"/>
  <c r="B2752"/>
  <c r="E2751"/>
  <c r="B2751"/>
  <c r="E2750"/>
  <c r="B2750"/>
  <c r="E2749"/>
  <c r="B2749"/>
  <c r="E2748"/>
  <c r="B2748"/>
  <c r="E2747"/>
  <c r="B2747"/>
  <c r="E2746"/>
  <c r="B2746"/>
  <c r="E2745"/>
  <c r="B2745"/>
  <c r="E2744"/>
  <c r="B2744"/>
  <c r="E2743"/>
  <c r="B2743"/>
  <c r="E2742"/>
  <c r="B2742"/>
  <c r="E2741"/>
  <c r="B2741"/>
  <c r="E2740"/>
  <c r="B2740"/>
  <c r="E2739"/>
  <c r="B2739"/>
  <c r="E2738"/>
  <c r="B2738"/>
  <c r="E2737"/>
  <c r="B2737"/>
  <c r="E2736"/>
  <c r="B2736"/>
  <c r="E2735"/>
  <c r="B2735"/>
  <c r="E2734"/>
  <c r="B2734"/>
  <c r="E2733"/>
  <c r="B2733"/>
  <c r="E2732"/>
  <c r="B2732"/>
  <c r="E2731"/>
  <c r="B2731"/>
  <c r="E2730"/>
  <c r="B2730"/>
  <c r="E2729"/>
  <c r="B2729"/>
  <c r="E2728"/>
  <c r="B2728"/>
  <c r="E2727"/>
  <c r="B2727"/>
  <c r="E2726"/>
  <c r="B2726"/>
  <c r="E2725"/>
  <c r="B2725"/>
  <c r="E2724"/>
  <c r="B2724"/>
  <c r="E2723"/>
  <c r="B2723"/>
  <c r="E2722"/>
  <c r="B2722"/>
  <c r="E2721"/>
  <c r="B2721"/>
  <c r="E2720"/>
  <c r="B2720"/>
  <c r="E2719"/>
  <c r="B2719"/>
  <c r="E2718"/>
  <c r="B2718"/>
  <c r="E2717"/>
  <c r="B2717"/>
  <c r="E2716"/>
  <c r="B2716"/>
  <c r="E2715"/>
  <c r="B2715"/>
  <c r="E2714"/>
  <c r="B2714"/>
  <c r="E2713"/>
  <c r="B2713"/>
  <c r="E2712"/>
  <c r="B2712"/>
  <c r="E2711"/>
  <c r="B2711"/>
  <c r="E2710"/>
  <c r="B2710"/>
  <c r="E2709"/>
  <c r="B2709"/>
  <c r="E2708"/>
  <c r="B2708"/>
  <c r="E2707"/>
  <c r="B2707"/>
  <c r="E2706"/>
  <c r="B2706"/>
  <c r="E2705"/>
  <c r="B2705"/>
  <c r="E2704"/>
  <c r="B2704"/>
  <c r="E2703"/>
  <c r="B2703"/>
  <c r="E2702"/>
  <c r="B2702"/>
  <c r="E2701"/>
  <c r="B2701"/>
  <c r="E2700"/>
  <c r="B2700"/>
  <c r="E2699"/>
  <c r="B2699"/>
  <c r="E2698"/>
  <c r="B2698"/>
  <c r="E2697"/>
  <c r="B2697"/>
  <c r="E2696"/>
  <c r="B2696"/>
  <c r="E2695"/>
  <c r="B2695"/>
  <c r="E2694"/>
  <c r="B2694"/>
  <c r="E2693"/>
  <c r="B2693"/>
  <c r="E2692"/>
  <c r="B2692"/>
  <c r="E2691"/>
  <c r="B2691"/>
  <c r="E2690"/>
  <c r="B2690"/>
  <c r="E2689"/>
  <c r="B2689"/>
  <c r="E2688"/>
  <c r="B2688"/>
  <c r="E2687"/>
  <c r="B2687"/>
  <c r="E2686"/>
  <c r="B2686"/>
  <c r="E2685"/>
  <c r="B2685"/>
  <c r="E2684"/>
  <c r="B2684"/>
  <c r="E2683"/>
  <c r="B2683"/>
  <c r="E2682"/>
  <c r="B2682"/>
  <c r="E2681"/>
  <c r="B2681"/>
  <c r="E2680"/>
  <c r="B2680"/>
  <c r="E2679"/>
  <c r="B2679"/>
  <c r="E2678"/>
  <c r="B2678"/>
  <c r="E2677"/>
  <c r="B2677"/>
  <c r="E2676"/>
  <c r="B2676"/>
  <c r="E2675"/>
  <c r="B2675"/>
  <c r="E2674"/>
  <c r="B2674"/>
  <c r="E2673"/>
  <c r="B2673"/>
  <c r="E2672"/>
  <c r="B2672"/>
  <c r="E2671"/>
  <c r="B2671"/>
  <c r="E2670"/>
  <c r="B2670"/>
  <c r="E2669"/>
  <c r="B2669"/>
  <c r="E2668"/>
  <c r="B2668"/>
  <c r="E2667"/>
  <c r="B2667"/>
  <c r="E2666"/>
  <c r="B2666"/>
  <c r="E2665"/>
  <c r="B2665"/>
  <c r="E2664"/>
  <c r="B2664"/>
  <c r="E2663"/>
  <c r="B2663"/>
  <c r="E2662"/>
  <c r="B2662"/>
  <c r="E2661"/>
  <c r="B2661"/>
  <c r="E2660"/>
  <c r="B2660"/>
  <c r="E2659"/>
  <c r="B2659"/>
  <c r="E2658"/>
  <c r="B2658"/>
  <c r="E2657"/>
  <c r="B2657"/>
  <c r="E2656"/>
  <c r="B2656"/>
  <c r="E2655"/>
  <c r="B2655"/>
  <c r="E2654"/>
  <c r="B2654"/>
  <c r="E2653"/>
  <c r="B2653"/>
  <c r="E2652"/>
  <c r="B2652"/>
  <c r="E2651"/>
  <c r="B2651"/>
  <c r="E2650"/>
  <c r="B2650"/>
  <c r="E2649"/>
  <c r="B2649"/>
  <c r="E2648"/>
  <c r="B2648"/>
  <c r="E2647"/>
  <c r="B2647"/>
  <c r="E2646"/>
  <c r="B2646"/>
  <c r="E2645"/>
  <c r="B2645"/>
  <c r="E2644"/>
  <c r="B2644"/>
  <c r="E2643"/>
  <c r="B2643"/>
  <c r="E2642"/>
  <c r="B2642"/>
  <c r="E2641"/>
  <c r="B2641"/>
  <c r="E2640"/>
  <c r="B2640"/>
  <c r="E2639"/>
  <c r="B2639"/>
  <c r="E2638"/>
  <c r="B2638"/>
  <c r="E2637"/>
  <c r="B2637"/>
  <c r="E2636"/>
  <c r="B2636"/>
  <c r="E2635"/>
  <c r="B2635"/>
  <c r="E2634"/>
  <c r="B2634"/>
  <c r="E2633"/>
  <c r="B2633"/>
  <c r="E2632"/>
  <c r="B2632"/>
  <c r="E2631"/>
  <c r="B2631"/>
  <c r="E2630"/>
  <c r="B2630"/>
  <c r="E2629"/>
  <c r="B2629"/>
  <c r="E2628"/>
  <c r="B2628"/>
  <c r="E2627"/>
  <c r="B2627"/>
  <c r="E2626"/>
  <c r="B2626"/>
  <c r="E2625"/>
  <c r="B2625"/>
  <c r="E2624"/>
  <c r="B2624"/>
  <c r="E2623"/>
  <c r="B2623"/>
  <c r="E2622"/>
  <c r="B2622"/>
  <c r="E2621"/>
  <c r="B2621"/>
  <c r="E2620"/>
  <c r="B2620"/>
  <c r="E2619"/>
  <c r="B2619"/>
  <c r="E2618"/>
  <c r="B2618"/>
  <c r="E2617"/>
  <c r="B2617"/>
  <c r="E2616"/>
  <c r="B2616"/>
  <c r="E2615"/>
  <c r="B2615"/>
  <c r="E2614"/>
  <c r="B2614"/>
  <c r="E2613"/>
  <c r="B2613"/>
  <c r="E2612"/>
  <c r="B2612"/>
  <c r="E2611"/>
  <c r="B2611"/>
  <c r="E2610"/>
  <c r="B2610"/>
  <c r="E2609"/>
  <c r="B2609"/>
  <c r="E2608"/>
  <c r="B2608"/>
  <c r="E2607"/>
  <c r="B2607"/>
  <c r="E2606"/>
  <c r="B2606"/>
  <c r="E2605"/>
  <c r="B2605"/>
  <c r="E2604"/>
  <c r="B2604"/>
  <c r="E2603"/>
  <c r="B2603"/>
  <c r="E2602"/>
  <c r="B2602"/>
  <c r="E2601"/>
  <c r="B2601"/>
  <c r="E2600"/>
  <c r="B2600"/>
  <c r="E2599"/>
  <c r="B2599"/>
  <c r="E2598"/>
  <c r="B2598"/>
  <c r="E2597"/>
  <c r="B2597"/>
  <c r="E2596"/>
  <c r="B2596"/>
  <c r="E2595"/>
  <c r="B2595"/>
  <c r="E2594"/>
  <c r="B2594"/>
  <c r="E2593"/>
  <c r="B2593"/>
  <c r="E2592"/>
  <c r="B2592"/>
  <c r="E2591"/>
  <c r="B2591"/>
  <c r="E2590"/>
  <c r="B2590"/>
  <c r="E2589"/>
  <c r="B2589"/>
  <c r="E2588"/>
  <c r="B2588"/>
  <c r="E2587"/>
  <c r="B2587"/>
  <c r="E2586"/>
  <c r="B2586"/>
  <c r="E2585"/>
  <c r="B2585"/>
  <c r="E2584"/>
  <c r="B2584"/>
  <c r="E2583"/>
  <c r="B2583"/>
  <c r="E2582"/>
  <c r="B2582"/>
  <c r="E2581"/>
  <c r="B2581"/>
  <c r="E2580"/>
  <c r="B2580"/>
  <c r="E2579"/>
  <c r="B2579"/>
  <c r="E2578"/>
  <c r="B2578"/>
  <c r="E2577"/>
  <c r="B2577"/>
  <c r="E2576"/>
  <c r="B2576"/>
  <c r="E2575"/>
  <c r="B2575"/>
  <c r="E2574"/>
  <c r="B2574"/>
  <c r="E2573"/>
  <c r="B2573"/>
  <c r="E2572"/>
  <c r="B2572"/>
  <c r="E2571"/>
  <c r="B2571"/>
  <c r="E2570"/>
  <c r="B2570"/>
  <c r="E2569"/>
  <c r="B2569"/>
  <c r="E2568"/>
  <c r="B2568"/>
  <c r="E2567"/>
  <c r="B2567"/>
  <c r="E2566"/>
  <c r="B2566"/>
  <c r="E2565"/>
  <c r="B2565"/>
  <c r="E2564"/>
  <c r="B2564"/>
  <c r="E2563"/>
  <c r="B2563"/>
  <c r="E2562"/>
  <c r="B2562"/>
  <c r="E2561"/>
  <c r="B2561"/>
  <c r="E2560"/>
  <c r="B2560"/>
  <c r="E2559"/>
  <c r="B2559"/>
  <c r="E2558"/>
  <c r="B2558"/>
  <c r="E2557"/>
  <c r="B2557"/>
  <c r="E2556"/>
  <c r="B2556"/>
  <c r="E2555"/>
  <c r="B2555"/>
  <c r="E2554"/>
  <c r="B2554"/>
  <c r="E2553"/>
  <c r="B2553"/>
  <c r="E2552"/>
  <c r="B2552"/>
  <c r="E2551"/>
  <c r="B2551"/>
  <c r="E2550"/>
  <c r="B2550"/>
  <c r="E2549"/>
  <c r="B2549"/>
  <c r="E2548"/>
  <c r="B2548"/>
  <c r="E2547"/>
  <c r="B2547"/>
  <c r="E2546"/>
  <c r="B2546"/>
  <c r="E2545"/>
  <c r="B2545"/>
  <c r="E2544"/>
  <c r="B2544"/>
  <c r="E2543"/>
  <c r="B2543"/>
  <c r="E2542"/>
  <c r="B2542"/>
  <c r="E2541"/>
  <c r="B2541"/>
  <c r="E2540"/>
  <c r="B2540"/>
  <c r="E2539"/>
  <c r="B2539"/>
  <c r="E2538"/>
  <c r="B2538"/>
  <c r="E2537"/>
  <c r="B2537"/>
  <c r="E2536"/>
  <c r="B2536"/>
  <c r="E2535"/>
  <c r="B2535"/>
  <c r="E2534"/>
  <c r="B2534"/>
  <c r="E2533"/>
  <c r="B2533"/>
  <c r="E2532"/>
  <c r="B2532"/>
  <c r="E2531"/>
  <c r="B2531"/>
  <c r="E2530"/>
  <c r="B2530"/>
  <c r="E2529"/>
  <c r="B2529"/>
  <c r="E2528"/>
  <c r="B2528"/>
  <c r="E2527"/>
  <c r="B2527"/>
  <c r="E2526"/>
  <c r="B2526"/>
  <c r="E2525"/>
  <c r="B2525"/>
  <c r="E2524"/>
  <c r="B2524"/>
  <c r="E2523"/>
  <c r="B2523"/>
  <c r="E2522"/>
  <c r="B2522"/>
  <c r="E2521"/>
  <c r="B2521"/>
  <c r="E2520"/>
  <c r="B2520"/>
  <c r="E2519"/>
  <c r="B2519"/>
  <c r="E2518"/>
  <c r="B2518"/>
  <c r="E2517"/>
  <c r="B2517"/>
  <c r="E2516"/>
  <c r="B2516"/>
  <c r="E2515"/>
  <c r="B2515"/>
  <c r="E2514"/>
  <c r="B2514"/>
  <c r="E2513"/>
  <c r="B2513"/>
  <c r="E2512"/>
  <c r="B2512"/>
  <c r="E2511"/>
  <c r="B2511"/>
  <c r="E2510"/>
  <c r="B2510"/>
  <c r="E2509"/>
  <c r="B2509"/>
  <c r="E2508"/>
  <c r="B2508"/>
  <c r="E2507"/>
  <c r="B2507"/>
  <c r="E2506"/>
  <c r="B2506"/>
  <c r="E2505"/>
  <c r="B2505"/>
  <c r="E2504"/>
  <c r="B2504"/>
  <c r="E2503"/>
  <c r="B2503"/>
  <c r="E2502"/>
  <c r="B2502"/>
  <c r="E2501"/>
  <c r="B2501"/>
  <c r="E2500"/>
  <c r="B2500"/>
  <c r="E2499"/>
  <c r="B2499"/>
  <c r="E2498"/>
  <c r="B2498"/>
  <c r="E2497"/>
  <c r="B2497"/>
  <c r="E2496"/>
  <c r="B2496"/>
  <c r="E2495"/>
  <c r="B2495"/>
  <c r="E2494"/>
  <c r="B2494"/>
  <c r="E2493"/>
  <c r="B2493"/>
  <c r="E2492"/>
  <c r="B2492"/>
  <c r="E2491"/>
  <c r="B2491"/>
  <c r="E2490"/>
  <c r="B2490"/>
  <c r="E2489"/>
  <c r="B2489"/>
  <c r="E2488"/>
  <c r="B2488"/>
  <c r="E2487"/>
  <c r="B2487"/>
  <c r="E2486"/>
  <c r="B2486"/>
  <c r="E2485"/>
  <c r="B2485"/>
  <c r="E2484"/>
  <c r="B2484"/>
  <c r="E2483"/>
  <c r="B2483"/>
  <c r="E2482"/>
  <c r="B2482"/>
  <c r="E2481"/>
  <c r="B2481"/>
  <c r="E2480"/>
  <c r="B2480"/>
  <c r="E2479"/>
  <c r="B2479"/>
  <c r="E2478"/>
  <c r="B2478"/>
  <c r="E2477"/>
  <c r="B2477"/>
  <c r="E2476"/>
  <c r="B2476"/>
  <c r="E2475"/>
  <c r="B2475"/>
  <c r="E2474"/>
  <c r="B2474"/>
  <c r="E2473"/>
  <c r="B2473"/>
  <c r="E2472"/>
  <c r="B2472"/>
  <c r="E2471"/>
  <c r="B2471"/>
  <c r="E2470"/>
  <c r="B2470"/>
  <c r="E2469"/>
  <c r="B2469"/>
  <c r="E2468"/>
  <c r="B2468"/>
  <c r="E2467"/>
  <c r="B2467"/>
  <c r="E2466"/>
  <c r="B2466"/>
  <c r="E2465"/>
  <c r="B2465"/>
  <c r="E2464"/>
  <c r="B2464"/>
  <c r="E2463"/>
  <c r="B2463"/>
  <c r="E2462"/>
  <c r="B2462"/>
  <c r="E2461"/>
  <c r="B2461"/>
  <c r="E2460"/>
  <c r="B2460"/>
  <c r="E2459"/>
  <c r="B2459"/>
  <c r="E2458"/>
  <c r="B2458"/>
  <c r="E2457"/>
  <c r="B2457"/>
  <c r="E2456"/>
  <c r="B2456"/>
  <c r="E2455"/>
  <c r="B2455"/>
  <c r="E2454"/>
  <c r="B2454"/>
  <c r="E2453"/>
  <c r="B2453"/>
  <c r="E2452"/>
  <c r="B2452"/>
  <c r="E2451"/>
  <c r="B2451"/>
  <c r="E2450"/>
  <c r="B2450"/>
  <c r="E2449"/>
  <c r="B2449"/>
  <c r="E2448"/>
  <c r="B2448"/>
  <c r="E2447"/>
  <c r="B2447"/>
  <c r="E2446"/>
  <c r="B2446"/>
  <c r="E2445"/>
  <c r="B2445"/>
  <c r="E2444"/>
  <c r="B2444"/>
  <c r="E2443"/>
  <c r="B2443"/>
  <c r="E2442"/>
  <c r="B2442"/>
  <c r="E2441"/>
  <c r="B2441"/>
  <c r="E2440"/>
  <c r="B2440"/>
  <c r="E2439"/>
  <c r="B2439"/>
  <c r="E2438"/>
  <c r="B2438"/>
  <c r="E2437"/>
  <c r="B2437"/>
  <c r="E2436"/>
  <c r="B2436"/>
  <c r="E2435"/>
  <c r="B2435"/>
  <c r="E2434"/>
  <c r="B2434"/>
  <c r="E2433"/>
  <c r="B2433"/>
  <c r="E2432"/>
  <c r="B2432"/>
  <c r="E2431"/>
  <c r="B2431"/>
  <c r="E2430"/>
  <c r="B2430"/>
  <c r="E2429"/>
  <c r="B2429"/>
  <c r="E2428"/>
  <c r="B2428"/>
  <c r="E2427"/>
  <c r="B2427"/>
  <c r="E2426"/>
  <c r="B2426"/>
  <c r="E2425"/>
  <c r="B2425"/>
  <c r="E2424"/>
  <c r="B2424"/>
  <c r="E2423"/>
  <c r="B2423"/>
  <c r="E2422"/>
  <c r="B2422"/>
  <c r="E2421"/>
  <c r="B2421"/>
  <c r="E2420"/>
  <c r="B2420"/>
  <c r="E2419"/>
  <c r="B2419"/>
  <c r="E2418"/>
  <c r="B2418"/>
  <c r="E2417"/>
  <c r="B2417"/>
  <c r="E2416"/>
  <c r="B2416"/>
  <c r="E2415"/>
  <c r="B2415"/>
  <c r="E2414"/>
  <c r="B2414"/>
  <c r="E2413"/>
  <c r="B2413"/>
  <c r="E2412"/>
  <c r="B2412"/>
  <c r="E2411"/>
  <c r="B2411"/>
  <c r="E2410"/>
  <c r="B2410"/>
  <c r="E2409"/>
  <c r="B2409"/>
  <c r="E2408"/>
  <c r="B2408"/>
  <c r="E2407"/>
  <c r="B2407"/>
  <c r="E2406"/>
  <c r="B2406"/>
  <c r="E2405"/>
  <c r="B2405"/>
  <c r="E2404"/>
  <c r="B2404"/>
  <c r="E2403"/>
  <c r="B2403"/>
  <c r="E2402"/>
  <c r="B2402"/>
  <c r="E2401"/>
  <c r="B2401"/>
  <c r="E2400"/>
  <c r="B2400"/>
  <c r="E2399"/>
  <c r="B2399"/>
  <c r="E2398"/>
  <c r="B2398"/>
  <c r="E2397"/>
  <c r="B2397"/>
  <c r="E2396"/>
  <c r="B2396"/>
  <c r="E2395"/>
  <c r="B2395"/>
  <c r="E2394"/>
  <c r="B2394"/>
  <c r="E2393"/>
  <c r="B2393"/>
  <c r="E2392"/>
  <c r="B2392"/>
  <c r="E2391"/>
  <c r="B2391"/>
  <c r="E2390"/>
  <c r="B2390"/>
  <c r="E2389"/>
  <c r="B2389"/>
  <c r="E2388"/>
  <c r="B2388"/>
  <c r="E2387"/>
  <c r="B2387"/>
  <c r="E2386"/>
  <c r="B2386"/>
  <c r="E2385"/>
  <c r="B2385"/>
  <c r="E2384"/>
  <c r="B2384"/>
  <c r="E2383"/>
  <c r="B2383"/>
  <c r="E2382"/>
  <c r="B2382"/>
  <c r="E2381"/>
  <c r="B2381"/>
  <c r="E2380"/>
  <c r="B2380"/>
  <c r="E2379"/>
  <c r="B2379"/>
  <c r="E2378"/>
  <c r="B2378"/>
  <c r="E2377"/>
  <c r="B2377"/>
  <c r="E2376"/>
  <c r="B2376"/>
  <c r="E2375"/>
  <c r="B2375"/>
  <c r="E2374"/>
  <c r="B2374"/>
  <c r="E2373"/>
  <c r="B2373"/>
  <c r="E2372"/>
  <c r="B2372"/>
  <c r="E2371"/>
  <c r="B2371"/>
  <c r="E2370"/>
  <c r="B2370"/>
  <c r="E2369"/>
  <c r="B2369"/>
  <c r="E2368"/>
  <c r="B2368"/>
  <c r="E2367"/>
  <c r="B2367"/>
  <c r="E2366"/>
  <c r="B2366"/>
  <c r="E2365"/>
  <c r="B2365"/>
  <c r="E2364"/>
  <c r="B2364"/>
  <c r="E2363"/>
  <c r="B2363"/>
  <c r="E2362"/>
  <c r="B2362"/>
  <c r="E2361"/>
  <c r="B2361"/>
  <c r="E2360"/>
  <c r="B2360"/>
  <c r="E2359"/>
  <c r="B2359"/>
  <c r="E2358"/>
  <c r="B2358"/>
  <c r="E2357"/>
  <c r="B2357"/>
  <c r="E2356"/>
  <c r="B2356"/>
  <c r="E2355"/>
  <c r="B2355"/>
  <c r="E2354"/>
  <c r="B2354"/>
  <c r="E2353"/>
  <c r="B2353"/>
  <c r="E2352"/>
  <c r="B2352"/>
  <c r="E2351"/>
  <c r="B2351"/>
  <c r="E2350"/>
  <c r="B2350"/>
  <c r="E2349"/>
  <c r="B2349"/>
  <c r="E2348"/>
  <c r="B2348"/>
  <c r="E2347"/>
  <c r="B2347"/>
  <c r="E2346"/>
  <c r="B2346"/>
  <c r="E2345"/>
  <c r="B2345"/>
  <c r="E2344"/>
  <c r="B2344"/>
  <c r="E2343"/>
  <c r="B2343"/>
  <c r="E2342"/>
  <c r="B2342"/>
  <c r="E2341"/>
  <c r="B2341"/>
  <c r="E2340"/>
  <c r="B2340"/>
  <c r="E2339"/>
  <c r="B2339"/>
  <c r="E2338"/>
  <c r="B2338"/>
  <c r="E2337"/>
  <c r="B2337"/>
  <c r="E2336"/>
  <c r="B2336"/>
  <c r="E2335"/>
  <c r="B2335"/>
  <c r="E2334"/>
  <c r="B2334"/>
  <c r="E2333"/>
  <c r="B2333"/>
  <c r="E2332"/>
  <c r="B2332"/>
  <c r="E2331"/>
  <c r="B2331"/>
  <c r="E2330"/>
  <c r="B2330"/>
  <c r="E2329"/>
  <c r="B2329"/>
  <c r="E2328"/>
  <c r="B2328"/>
  <c r="E2327"/>
  <c r="B2327"/>
  <c r="E2326"/>
  <c r="B2326"/>
  <c r="E2325"/>
  <c r="B2325"/>
  <c r="E2324"/>
  <c r="B2324"/>
  <c r="E2323"/>
  <c r="B2323"/>
  <c r="E2322"/>
  <c r="B2322"/>
  <c r="E2321"/>
  <c r="B2321"/>
  <c r="E2320"/>
  <c r="B2320"/>
  <c r="E2319"/>
  <c r="B2319"/>
  <c r="E2318"/>
  <c r="B2318"/>
  <c r="E2317"/>
  <c r="B2317"/>
  <c r="E2316"/>
  <c r="B2316"/>
  <c r="E2315"/>
  <c r="B2315"/>
  <c r="E2314"/>
  <c r="B2314"/>
  <c r="E2313"/>
  <c r="B2313"/>
  <c r="E2312"/>
  <c r="B2312"/>
  <c r="E2311"/>
  <c r="B2311"/>
  <c r="E2310"/>
  <c r="B2310"/>
  <c r="E2309"/>
  <c r="B2309"/>
  <c r="E2308"/>
  <c r="B2308"/>
  <c r="E2307"/>
  <c r="B2307"/>
  <c r="E2306"/>
  <c r="B2306"/>
  <c r="E2305"/>
  <c r="B2305"/>
  <c r="E2304"/>
  <c r="B2304"/>
  <c r="E2303"/>
  <c r="B2303"/>
  <c r="E2302"/>
  <c r="B2302"/>
  <c r="E2301"/>
  <c r="B2301"/>
  <c r="E2300"/>
  <c r="B2300"/>
  <c r="E2299"/>
  <c r="B2299"/>
  <c r="E2298"/>
  <c r="B2298"/>
  <c r="E2297"/>
  <c r="B2297"/>
  <c r="E2296"/>
  <c r="B2296"/>
  <c r="E2295"/>
  <c r="B2295"/>
  <c r="E2294"/>
  <c r="B2294"/>
  <c r="E2293"/>
  <c r="B2293"/>
  <c r="E2292"/>
  <c r="B2292"/>
  <c r="E2291"/>
  <c r="B2291"/>
  <c r="E2290"/>
  <c r="B2290"/>
  <c r="E2289"/>
  <c r="B2289"/>
  <c r="E2288"/>
  <c r="B2288"/>
  <c r="E2287"/>
  <c r="B2287"/>
  <c r="E2286"/>
  <c r="B2286"/>
  <c r="E2285"/>
  <c r="B2285"/>
  <c r="E2284"/>
  <c r="B2284"/>
  <c r="E2283"/>
  <c r="B2283"/>
  <c r="E2282"/>
  <c r="B2282"/>
  <c r="E2281"/>
  <c r="B2281"/>
  <c r="E2280"/>
  <c r="B2280"/>
  <c r="E2279"/>
  <c r="B2279"/>
  <c r="E2278"/>
  <c r="B2278"/>
  <c r="E2277"/>
  <c r="B2277"/>
  <c r="E2276"/>
  <c r="B2276"/>
  <c r="E2275"/>
  <c r="B2275"/>
  <c r="E2274"/>
  <c r="B2274"/>
  <c r="E2273"/>
  <c r="B2273"/>
  <c r="E2272"/>
  <c r="B2272"/>
  <c r="E2271"/>
  <c r="B2271"/>
  <c r="E2270"/>
  <c r="B2270"/>
  <c r="E2269"/>
  <c r="B2269"/>
  <c r="E2268"/>
  <c r="B2268"/>
  <c r="E2267"/>
  <c r="B2267"/>
  <c r="E2266"/>
  <c r="B2266"/>
  <c r="E2265"/>
  <c r="B2265"/>
  <c r="E2264"/>
  <c r="B2264"/>
  <c r="E2263"/>
  <c r="B2263"/>
  <c r="E2262"/>
  <c r="B2262"/>
  <c r="E2261"/>
  <c r="B2261"/>
  <c r="E2260"/>
  <c r="B2260"/>
  <c r="E2259"/>
  <c r="B2259"/>
  <c r="E2258"/>
  <c r="B2258"/>
  <c r="E2257"/>
  <c r="B2257"/>
  <c r="E2256"/>
  <c r="B2256"/>
  <c r="E2255"/>
  <c r="B2255"/>
  <c r="E2254"/>
  <c r="B2254"/>
  <c r="E2253"/>
  <c r="B2253"/>
  <c r="E2252"/>
  <c r="B2252"/>
  <c r="E2251"/>
  <c r="B2251"/>
  <c r="E2250"/>
  <c r="B2250"/>
  <c r="E2249"/>
  <c r="B2249"/>
  <c r="E2248"/>
  <c r="B2248"/>
  <c r="E2247"/>
  <c r="B2247"/>
  <c r="E2246"/>
  <c r="B2246"/>
  <c r="E2245"/>
  <c r="B2245"/>
  <c r="E2244"/>
  <c r="B2244"/>
  <c r="E2243"/>
  <c r="B2243"/>
  <c r="E2242"/>
  <c r="B2242"/>
  <c r="E2241"/>
  <c r="B2241"/>
  <c r="E2240"/>
  <c r="B2240"/>
  <c r="E2239"/>
  <c r="B2239"/>
  <c r="E2238"/>
  <c r="B2238"/>
  <c r="E2237"/>
  <c r="B2237"/>
  <c r="E2236"/>
  <c r="B2236"/>
  <c r="E2235"/>
  <c r="B2235"/>
  <c r="E2234"/>
  <c r="B2234"/>
  <c r="E2233"/>
  <c r="B2233"/>
  <c r="E2232"/>
  <c r="B2232"/>
  <c r="E2231"/>
  <c r="B2231"/>
  <c r="E2230"/>
  <c r="B2230"/>
  <c r="E2229"/>
  <c r="B2229"/>
  <c r="E2228"/>
  <c r="B2228"/>
  <c r="E2227"/>
  <c r="B2227"/>
  <c r="E2226"/>
  <c r="B2226"/>
  <c r="E2225"/>
  <c r="B2225"/>
  <c r="E2224"/>
  <c r="B2224"/>
  <c r="E2223"/>
  <c r="B2223"/>
  <c r="E2222"/>
  <c r="B2222"/>
  <c r="E2221"/>
  <c r="B2221"/>
  <c r="E2220"/>
  <c r="B2220"/>
  <c r="E2219"/>
  <c r="B2219"/>
  <c r="E2218"/>
  <c r="B2218"/>
  <c r="E2217"/>
  <c r="B2217"/>
  <c r="E2216"/>
  <c r="B2216"/>
  <c r="E2215"/>
  <c r="B2215"/>
  <c r="E2214"/>
  <c r="B2214"/>
  <c r="E2213"/>
  <c r="B2213"/>
  <c r="E2212"/>
  <c r="B2212"/>
  <c r="E2211"/>
  <c r="B2211"/>
  <c r="E2210"/>
  <c r="B2210"/>
  <c r="E2209"/>
  <c r="B2209"/>
  <c r="E2208"/>
  <c r="B2208"/>
  <c r="E2207"/>
  <c r="B2207"/>
  <c r="E2206"/>
  <c r="B2206"/>
  <c r="E2205"/>
  <c r="B2205"/>
  <c r="E2204"/>
  <c r="B2204"/>
  <c r="E2203"/>
  <c r="B2203"/>
  <c r="E2202"/>
  <c r="B2202"/>
  <c r="E2201"/>
  <c r="B2201"/>
  <c r="E2200"/>
  <c r="B2200"/>
  <c r="E2199"/>
  <c r="B2199"/>
  <c r="E2198"/>
  <c r="B2198"/>
  <c r="E2197"/>
  <c r="B2197"/>
  <c r="E2196"/>
  <c r="B2196"/>
  <c r="E2195"/>
  <c r="B2195"/>
  <c r="E2194"/>
  <c r="B2194"/>
  <c r="E2193"/>
  <c r="B2193"/>
  <c r="E2192"/>
  <c r="B2192"/>
  <c r="E2191"/>
  <c r="B2191"/>
  <c r="E2190"/>
  <c r="B2190"/>
  <c r="E2189"/>
  <c r="B2189"/>
  <c r="E2188"/>
  <c r="B2188"/>
  <c r="E2187"/>
  <c r="B2187"/>
  <c r="E2186"/>
  <c r="B2186"/>
  <c r="E2185"/>
  <c r="B2185"/>
  <c r="E2184"/>
  <c r="B2184"/>
  <c r="E2183"/>
  <c r="B2183"/>
  <c r="E2182"/>
  <c r="B2182"/>
  <c r="E2181"/>
  <c r="B2181"/>
  <c r="E2180"/>
  <c r="B2180"/>
  <c r="E2179"/>
  <c r="B2179"/>
  <c r="E2178"/>
  <c r="B2178"/>
  <c r="E2177"/>
  <c r="B2177"/>
  <c r="E2176"/>
  <c r="B2176"/>
  <c r="E2175"/>
  <c r="B2175"/>
  <c r="E2174"/>
  <c r="B2174"/>
  <c r="E2173"/>
  <c r="B2173"/>
  <c r="E2172"/>
  <c r="B2172"/>
  <c r="E2171"/>
  <c r="B2171"/>
  <c r="E2170"/>
  <c r="B2170"/>
  <c r="E2169"/>
  <c r="B2169"/>
  <c r="E2168"/>
  <c r="B2168"/>
  <c r="E2167"/>
  <c r="B2167"/>
  <c r="E2166"/>
  <c r="B2166"/>
  <c r="E2165"/>
  <c r="B2165"/>
  <c r="E2164"/>
  <c r="B2164"/>
  <c r="E2163"/>
  <c r="B2163"/>
  <c r="E2162"/>
  <c r="B2162"/>
  <c r="E2161"/>
  <c r="B2161"/>
  <c r="E2160"/>
  <c r="B2160"/>
  <c r="E2159"/>
  <c r="B2159"/>
  <c r="E2158"/>
  <c r="B2158"/>
  <c r="E2157"/>
  <c r="B2157"/>
  <c r="E2156"/>
  <c r="B2156"/>
  <c r="E2155"/>
  <c r="B2155"/>
  <c r="E2154"/>
  <c r="B2154"/>
  <c r="E2153"/>
  <c r="B2153"/>
  <c r="E2152"/>
  <c r="B2152"/>
  <c r="E2151"/>
  <c r="B2151"/>
  <c r="E2150"/>
  <c r="B2150"/>
  <c r="E2149"/>
  <c r="B2149"/>
  <c r="E2148"/>
  <c r="B2148"/>
  <c r="E2147"/>
  <c r="B2147"/>
  <c r="E2146"/>
  <c r="B2146"/>
  <c r="E2145"/>
  <c r="B2145"/>
  <c r="E2144"/>
  <c r="B2144"/>
  <c r="E2143"/>
  <c r="B2143"/>
  <c r="E2142"/>
  <c r="B2142"/>
  <c r="E2141"/>
  <c r="B2141"/>
  <c r="E2140"/>
  <c r="B2140"/>
  <c r="E2139"/>
  <c r="B2139"/>
  <c r="E2138"/>
  <c r="B2138"/>
  <c r="E2137"/>
  <c r="B2137"/>
  <c r="E2136"/>
  <c r="B2136"/>
  <c r="E2135"/>
  <c r="B2135"/>
  <c r="E2134"/>
  <c r="B2134"/>
  <c r="E2133"/>
  <c r="B2133"/>
  <c r="E2132"/>
  <c r="B2132"/>
  <c r="E2131"/>
  <c r="B2131"/>
  <c r="E2130"/>
  <c r="B2130"/>
  <c r="E2129"/>
  <c r="B2129"/>
  <c r="E2128"/>
  <c r="B2128"/>
  <c r="E2127"/>
  <c r="B2127"/>
  <c r="E2126"/>
  <c r="B2126"/>
  <c r="E2125"/>
  <c r="B2125"/>
  <c r="E2124"/>
  <c r="B2124"/>
  <c r="E2123"/>
  <c r="B2123"/>
  <c r="E2122"/>
  <c r="B2122"/>
  <c r="E2121"/>
  <c r="B2121"/>
  <c r="E2120"/>
  <c r="B2120"/>
  <c r="E2119"/>
  <c r="B2119"/>
  <c r="E2118"/>
  <c r="B2118"/>
  <c r="E2117"/>
  <c r="B2117"/>
  <c r="E2116"/>
  <c r="B2116"/>
  <c r="E2115"/>
  <c r="B2115"/>
  <c r="E2114"/>
  <c r="B2114"/>
  <c r="E2113"/>
  <c r="B2113"/>
  <c r="E2112"/>
  <c r="B2112"/>
  <c r="E2111"/>
  <c r="B2111"/>
  <c r="E2110"/>
  <c r="B2110"/>
  <c r="E2109"/>
  <c r="B2109"/>
  <c r="E2108"/>
  <c r="B2108"/>
  <c r="E2107"/>
  <c r="B2107"/>
  <c r="E2106"/>
  <c r="B2106"/>
  <c r="E2105"/>
  <c r="B2105"/>
  <c r="E2104"/>
  <c r="B2104"/>
  <c r="E2103"/>
  <c r="B2103"/>
  <c r="E2102"/>
  <c r="B2102"/>
  <c r="E2101"/>
  <c r="B2101"/>
  <c r="E2100"/>
  <c r="B2100"/>
  <c r="E2099"/>
  <c r="B2099"/>
  <c r="E2098"/>
  <c r="B2098"/>
  <c r="E2097"/>
  <c r="B2097"/>
  <c r="E2096"/>
  <c r="B2096"/>
  <c r="E2095"/>
  <c r="B2095"/>
  <c r="E2094"/>
  <c r="B2094"/>
  <c r="E2093"/>
  <c r="B2093"/>
  <c r="E2092"/>
  <c r="B2092"/>
  <c r="E2091"/>
  <c r="B2091"/>
  <c r="E2090"/>
  <c r="B2090"/>
  <c r="E2089"/>
  <c r="B2089"/>
  <c r="E2088"/>
  <c r="B2088"/>
  <c r="E2087"/>
  <c r="B2087"/>
  <c r="E2086"/>
  <c r="B2086"/>
  <c r="E2085"/>
  <c r="B2085"/>
  <c r="E2084"/>
  <c r="B2084"/>
  <c r="E2083"/>
  <c r="B2083"/>
  <c r="E2082"/>
  <c r="B2082"/>
  <c r="E2081"/>
  <c r="B2081"/>
  <c r="E2080"/>
  <c r="B2080"/>
  <c r="E2079"/>
  <c r="B2079"/>
  <c r="E2078"/>
  <c r="B2078"/>
  <c r="E2077"/>
  <c r="B2077"/>
  <c r="E2076"/>
  <c r="B2076"/>
  <c r="E2075"/>
  <c r="B2075"/>
  <c r="E2074"/>
  <c r="B2074"/>
  <c r="E2073"/>
  <c r="B2073"/>
  <c r="E2072"/>
  <c r="B2072"/>
  <c r="E2071"/>
  <c r="B2071"/>
  <c r="E2070"/>
  <c r="B2070"/>
  <c r="E2069"/>
  <c r="B2069"/>
  <c r="E2068"/>
  <c r="B2068"/>
  <c r="E2067"/>
  <c r="B2067"/>
  <c r="E2066"/>
  <c r="B2066"/>
  <c r="E2065"/>
  <c r="B2065"/>
  <c r="E2064"/>
  <c r="B2064"/>
  <c r="E2063"/>
  <c r="B2063"/>
  <c r="E2062"/>
  <c r="B2062"/>
  <c r="E2061"/>
  <c r="B2061"/>
  <c r="E2060"/>
  <c r="B2060"/>
  <c r="E2059"/>
  <c r="B2059"/>
  <c r="E2058"/>
  <c r="B2058"/>
  <c r="E2057"/>
  <c r="B2057"/>
  <c r="E2056"/>
  <c r="B2056"/>
  <c r="E2055"/>
  <c r="B2055"/>
  <c r="E2054"/>
  <c r="B2054"/>
  <c r="E2053"/>
  <c r="B2053"/>
  <c r="E2052"/>
  <c r="B2052"/>
  <c r="E2051"/>
  <c r="B2051"/>
  <c r="E2050"/>
  <c r="B2050"/>
  <c r="E2049"/>
  <c r="B2049"/>
  <c r="E2048"/>
  <c r="B2048"/>
  <c r="E2047"/>
  <c r="B2047"/>
  <c r="E2046"/>
  <c r="B2046"/>
  <c r="E2045"/>
  <c r="B2045"/>
  <c r="E2044"/>
  <c r="B2044"/>
  <c r="E2043"/>
  <c r="B2043"/>
  <c r="E2042"/>
  <c r="B2042"/>
  <c r="E2041"/>
  <c r="B2041"/>
  <c r="E2040"/>
  <c r="B2040"/>
  <c r="E2039"/>
  <c r="B2039"/>
  <c r="E2038"/>
  <c r="B2038"/>
  <c r="E2037"/>
  <c r="B2037"/>
  <c r="E2036"/>
  <c r="B2036"/>
  <c r="E2035"/>
  <c r="B2035"/>
  <c r="E2034"/>
  <c r="B2034"/>
  <c r="E2033"/>
  <c r="B2033"/>
  <c r="E2032"/>
  <c r="B2032"/>
  <c r="E2031"/>
  <c r="B2031"/>
  <c r="E2030"/>
  <c r="B2030"/>
  <c r="E2029"/>
  <c r="B2029"/>
  <c r="E2028"/>
  <c r="B2028"/>
  <c r="E2027"/>
  <c r="B2027"/>
  <c r="E2026"/>
  <c r="B2026"/>
  <c r="E2025"/>
  <c r="B2025"/>
  <c r="E2024"/>
  <c r="B2024"/>
  <c r="E2023"/>
  <c r="B2023"/>
  <c r="E2022"/>
  <c r="B2022"/>
  <c r="E2021"/>
  <c r="B2021"/>
  <c r="E2020"/>
  <c r="B2020"/>
  <c r="E2019"/>
  <c r="B2019"/>
  <c r="E2018"/>
  <c r="B2018"/>
  <c r="E2017"/>
  <c r="B2017"/>
  <c r="E2016"/>
  <c r="B2016"/>
  <c r="E2015"/>
  <c r="B2015"/>
  <c r="E2014"/>
  <c r="B2014"/>
  <c r="E2013"/>
  <c r="B2013"/>
  <c r="E2012"/>
  <c r="B2012"/>
  <c r="E2011"/>
  <c r="B2011"/>
  <c r="E2010"/>
  <c r="B2010"/>
  <c r="E2009"/>
  <c r="B2009"/>
  <c r="E2008"/>
  <c r="B2008"/>
  <c r="E2007"/>
  <c r="B2007"/>
  <c r="E2006"/>
  <c r="B2006"/>
  <c r="E2005"/>
  <c r="B2005"/>
  <c r="E2004"/>
  <c r="B2004"/>
  <c r="E2003"/>
  <c r="B2003"/>
  <c r="E2002"/>
  <c r="B2002"/>
  <c r="E2001"/>
  <c r="B2001"/>
  <c r="E2000"/>
  <c r="B2000"/>
  <c r="E1999"/>
  <c r="B1999"/>
  <c r="E1998"/>
  <c r="B1998"/>
  <c r="E1997"/>
  <c r="B1997"/>
  <c r="E1996"/>
  <c r="B1996"/>
  <c r="E1995"/>
  <c r="B1995"/>
  <c r="E1994"/>
  <c r="B1994"/>
  <c r="E1993"/>
  <c r="B1993"/>
  <c r="E1992"/>
  <c r="B1992"/>
  <c r="E1991"/>
  <c r="B1991"/>
  <c r="E1990"/>
  <c r="B1990"/>
  <c r="E1989"/>
  <c r="B1989"/>
  <c r="E1988"/>
  <c r="B1988"/>
  <c r="E1987"/>
  <c r="B1987"/>
  <c r="E1986"/>
  <c r="B1986"/>
  <c r="E1985"/>
  <c r="B1985"/>
  <c r="E1984"/>
  <c r="B1984"/>
  <c r="E1983"/>
  <c r="B1983"/>
  <c r="E1982"/>
  <c r="B1982"/>
  <c r="E1981"/>
  <c r="B1981"/>
  <c r="E1980"/>
  <c r="B1980"/>
  <c r="E1979"/>
  <c r="B1979"/>
  <c r="E1978"/>
  <c r="B1978"/>
  <c r="E1977"/>
  <c r="B1977"/>
  <c r="E1976"/>
  <c r="B1976"/>
  <c r="E1975"/>
  <c r="B1975"/>
  <c r="E1974"/>
  <c r="B1974"/>
  <c r="E1973"/>
  <c r="B1973"/>
  <c r="E1972"/>
  <c r="B1972"/>
  <c r="E1971"/>
  <c r="B1971"/>
  <c r="E1970"/>
  <c r="B1970"/>
  <c r="E1969"/>
  <c r="B1969"/>
  <c r="E1968"/>
  <c r="B1968"/>
  <c r="E1967"/>
  <c r="B1967"/>
  <c r="E1966"/>
  <c r="B1966"/>
  <c r="E1965"/>
  <c r="B1965"/>
  <c r="E1964"/>
  <c r="B1964"/>
  <c r="E1963"/>
  <c r="B1963"/>
  <c r="E1962"/>
  <c r="B1962"/>
  <c r="E1961"/>
  <c r="B1961"/>
  <c r="E1960"/>
  <c r="B1960"/>
  <c r="E1959"/>
  <c r="B1959"/>
  <c r="E1958"/>
  <c r="B1958"/>
  <c r="E1957"/>
  <c r="B1957"/>
  <c r="E1956"/>
  <c r="B1956"/>
  <c r="E1955"/>
  <c r="B1955"/>
  <c r="E1954"/>
  <c r="B1954"/>
  <c r="E1953"/>
  <c r="B1953"/>
  <c r="E1952"/>
  <c r="B1952"/>
  <c r="E1951"/>
  <c r="B1951"/>
  <c r="E1950"/>
  <c r="B1950"/>
  <c r="E1949"/>
  <c r="B1949"/>
  <c r="E1948"/>
  <c r="B1948"/>
  <c r="E1947"/>
  <c r="B1947"/>
  <c r="E1946"/>
  <c r="B1946"/>
  <c r="E1945"/>
  <c r="B1945"/>
  <c r="E1944"/>
  <c r="B1944"/>
  <c r="E1943"/>
  <c r="B1943"/>
  <c r="E1942"/>
  <c r="B1942"/>
  <c r="E1941"/>
  <c r="B1941"/>
  <c r="E1940"/>
  <c r="B1940"/>
  <c r="E1939"/>
  <c r="B1939"/>
  <c r="E1938"/>
  <c r="B1938"/>
  <c r="E1937"/>
  <c r="B1937"/>
  <c r="E1936"/>
  <c r="B1936"/>
  <c r="E1935"/>
  <c r="B1935"/>
  <c r="E1934"/>
  <c r="B1934"/>
  <c r="E1933"/>
  <c r="B1933"/>
  <c r="E1932"/>
  <c r="B1932"/>
  <c r="E1931"/>
  <c r="B1931"/>
  <c r="E1930"/>
  <c r="B1930"/>
  <c r="E1929"/>
  <c r="B1929"/>
  <c r="E1928"/>
  <c r="B1928"/>
  <c r="E1927"/>
  <c r="B1927"/>
  <c r="E1926"/>
  <c r="B1926"/>
  <c r="E1925"/>
  <c r="B1925"/>
  <c r="E1924"/>
  <c r="B1924"/>
  <c r="E1923"/>
  <c r="B1923"/>
  <c r="E1922"/>
  <c r="B1922"/>
  <c r="E1921"/>
  <c r="B1921"/>
  <c r="E1920"/>
  <c r="B1920"/>
  <c r="E1919"/>
  <c r="B1919"/>
  <c r="E1918"/>
  <c r="B1918"/>
  <c r="E1917"/>
  <c r="B1917"/>
  <c r="E1916"/>
  <c r="B1916"/>
  <c r="E1915"/>
  <c r="B1915"/>
  <c r="E1914"/>
  <c r="B1914"/>
  <c r="E1913"/>
  <c r="B1913"/>
  <c r="E1912"/>
  <c r="B1912"/>
  <c r="E1911"/>
  <c r="B1911"/>
  <c r="E1910"/>
  <c r="B1910"/>
  <c r="E1909"/>
  <c r="B1909"/>
  <c r="E1908"/>
  <c r="B1908"/>
  <c r="E1907"/>
  <c r="B1907"/>
  <c r="E1906"/>
  <c r="B1906"/>
  <c r="E1905"/>
  <c r="B1905"/>
  <c r="E1904"/>
  <c r="B1904"/>
  <c r="E1903"/>
  <c r="B1903"/>
  <c r="E1902"/>
  <c r="B1902"/>
  <c r="E1901"/>
  <c r="B1901"/>
  <c r="E1900"/>
  <c r="B1900"/>
  <c r="E1899"/>
  <c r="B1899"/>
  <c r="E1898"/>
  <c r="B1898"/>
  <c r="E1897"/>
  <c r="B1897"/>
  <c r="E1896"/>
  <c r="B1896"/>
  <c r="E1895"/>
  <c r="B1895"/>
  <c r="E1894"/>
  <c r="B1894"/>
  <c r="E1893"/>
  <c r="B1893"/>
  <c r="E1892"/>
  <c r="B1892"/>
  <c r="E1891"/>
  <c r="B1891"/>
  <c r="E1890"/>
  <c r="B1890"/>
  <c r="E1889"/>
  <c r="B1889"/>
  <c r="E1888"/>
  <c r="B1888"/>
  <c r="E1887"/>
  <c r="B1887"/>
  <c r="E1886"/>
  <c r="B1886"/>
  <c r="E1885"/>
  <c r="B1885"/>
  <c r="E1884"/>
  <c r="B1884"/>
  <c r="E1883"/>
  <c r="B1883"/>
  <c r="E1882"/>
  <c r="B1882"/>
  <c r="E1881"/>
  <c r="B1881"/>
  <c r="E1880"/>
  <c r="B1880"/>
  <c r="E1879"/>
  <c r="B1879"/>
  <c r="E1878"/>
  <c r="B1878"/>
  <c r="E1877"/>
  <c r="B1877"/>
  <c r="E1876"/>
  <c r="B1876"/>
  <c r="E1875"/>
  <c r="B1875"/>
  <c r="E1874"/>
  <c r="B1874"/>
  <c r="E1873"/>
  <c r="B1873"/>
  <c r="E1872"/>
  <c r="B1872"/>
  <c r="E1871"/>
  <c r="B1871"/>
  <c r="E1870"/>
  <c r="B1870"/>
  <c r="E1869"/>
  <c r="B1869"/>
  <c r="E1868"/>
  <c r="B1868"/>
  <c r="E1867"/>
  <c r="B1867"/>
  <c r="E1866"/>
  <c r="B1866"/>
  <c r="E1865"/>
  <c r="B1865"/>
  <c r="E1864"/>
  <c r="B1864"/>
  <c r="E1863"/>
  <c r="B1863"/>
  <c r="E1862"/>
  <c r="B1862"/>
  <c r="E1861"/>
  <c r="B1861"/>
  <c r="E1860"/>
  <c r="B1860"/>
  <c r="E1859"/>
  <c r="B1859"/>
  <c r="E1858"/>
  <c r="B1858"/>
  <c r="E1857"/>
  <c r="B1857"/>
  <c r="E1856"/>
  <c r="B1856"/>
  <c r="E1855"/>
  <c r="B1855"/>
  <c r="E1854"/>
  <c r="B1854"/>
  <c r="E1853"/>
  <c r="B1853"/>
  <c r="E1852"/>
  <c r="B1852"/>
  <c r="E1851"/>
  <c r="B1851"/>
  <c r="E1850"/>
  <c r="B1850"/>
  <c r="E1849"/>
  <c r="B1849"/>
  <c r="E1848"/>
  <c r="B1848"/>
  <c r="E1847"/>
  <c r="B1847"/>
  <c r="E1846"/>
  <c r="B1846"/>
  <c r="E1845"/>
  <c r="B1845"/>
  <c r="E1844"/>
  <c r="B1844"/>
  <c r="E1843"/>
  <c r="B1843"/>
  <c r="E1842"/>
  <c r="B1842"/>
  <c r="E1841"/>
  <c r="B1841"/>
  <c r="E1840"/>
  <c r="B1840"/>
  <c r="E1839"/>
  <c r="B1839"/>
  <c r="E1838"/>
  <c r="B1838"/>
  <c r="E1837"/>
  <c r="B1837"/>
  <c r="E1836"/>
  <c r="B1836"/>
  <c r="E1835"/>
  <c r="B1835"/>
  <c r="E1834"/>
  <c r="B1834"/>
  <c r="E1833"/>
  <c r="B1833"/>
  <c r="E1832"/>
  <c r="B1832"/>
  <c r="E1831"/>
  <c r="B1831"/>
  <c r="E1830"/>
  <c r="B1830"/>
  <c r="E1829"/>
  <c r="B1829"/>
  <c r="E1828"/>
  <c r="B1828"/>
  <c r="E1827"/>
  <c r="B1827"/>
  <c r="E1826"/>
  <c r="B1826"/>
  <c r="E1825"/>
  <c r="B1825"/>
  <c r="E1824"/>
  <c r="B1824"/>
  <c r="E1823"/>
  <c r="B1823"/>
  <c r="E1822"/>
  <c r="B1822"/>
  <c r="E1821"/>
  <c r="B1821"/>
  <c r="E1820"/>
  <c r="B1820"/>
  <c r="E1819"/>
  <c r="B1819"/>
  <c r="E1818"/>
  <c r="B1818"/>
  <c r="E1817"/>
  <c r="B1817"/>
  <c r="E1816"/>
  <c r="B1816"/>
  <c r="E1815"/>
  <c r="B1815"/>
  <c r="E1814"/>
  <c r="B1814"/>
  <c r="E1813"/>
  <c r="B1813"/>
  <c r="E1812"/>
  <c r="B1812"/>
  <c r="E1811"/>
  <c r="B1811"/>
  <c r="E1810"/>
  <c r="B1810"/>
  <c r="E1809"/>
  <c r="B1809"/>
  <c r="E1808"/>
  <c r="B1808"/>
  <c r="E1807"/>
  <c r="B1807"/>
  <c r="E1806"/>
  <c r="B1806"/>
  <c r="E1805"/>
  <c r="B1805"/>
  <c r="E1804"/>
  <c r="B1804"/>
  <c r="E1803"/>
  <c r="B1803"/>
  <c r="E1802"/>
  <c r="B1802"/>
  <c r="E1801"/>
  <c r="B1801"/>
  <c r="E1800"/>
  <c r="B1800"/>
  <c r="E1799"/>
  <c r="B1799"/>
  <c r="E1798"/>
  <c r="B1798"/>
  <c r="E1797"/>
  <c r="B1797"/>
  <c r="E1796"/>
  <c r="B1796"/>
  <c r="E1795"/>
  <c r="B1795"/>
  <c r="E1794"/>
  <c r="B1794"/>
  <c r="E1793"/>
  <c r="B1793"/>
  <c r="E1792"/>
  <c r="B1792"/>
  <c r="E1791"/>
  <c r="B1791"/>
  <c r="E1790"/>
  <c r="B1790"/>
  <c r="E1789"/>
  <c r="B1789"/>
  <c r="E1788"/>
  <c r="B1788"/>
  <c r="E1787"/>
  <c r="B1787"/>
  <c r="E1786"/>
  <c r="B1786"/>
  <c r="E1785"/>
  <c r="B1785"/>
  <c r="E1784"/>
  <c r="B1784"/>
  <c r="E1783"/>
  <c r="B1783"/>
  <c r="E1782"/>
  <c r="B1782"/>
  <c r="E1781"/>
  <c r="B1781"/>
  <c r="E1780"/>
  <c r="B1780"/>
  <c r="E1779"/>
  <c r="B1779"/>
  <c r="E1778"/>
  <c r="B1778"/>
  <c r="E1777"/>
  <c r="B1777"/>
  <c r="E1776"/>
  <c r="B1776"/>
  <c r="E1775"/>
  <c r="B1775"/>
  <c r="E1774"/>
  <c r="B1774"/>
  <c r="E1773"/>
  <c r="B1773"/>
  <c r="E1772"/>
  <c r="B1772"/>
  <c r="E1771"/>
  <c r="B1771"/>
  <c r="E1770"/>
  <c r="B1770"/>
  <c r="E1769"/>
  <c r="B1769"/>
  <c r="E1768"/>
  <c r="B1768"/>
  <c r="E1767"/>
  <c r="B1767"/>
  <c r="E1766"/>
  <c r="B1766"/>
  <c r="E1765"/>
  <c r="B1765"/>
  <c r="E1764"/>
  <c r="B1764"/>
  <c r="E1763"/>
  <c r="B1763"/>
  <c r="E1762"/>
  <c r="B1762"/>
  <c r="E1761"/>
  <c r="B1761"/>
  <c r="E1760"/>
  <c r="B1760"/>
  <c r="E1759"/>
  <c r="B1759"/>
  <c r="E1758"/>
  <c r="B1758"/>
  <c r="E1757"/>
  <c r="B1757"/>
  <c r="E1756"/>
  <c r="B1756"/>
  <c r="E1755"/>
  <c r="B1755"/>
  <c r="E1754"/>
  <c r="B1754"/>
  <c r="E1753"/>
  <c r="B1753"/>
  <c r="E1752"/>
  <c r="B1752"/>
  <c r="E1751"/>
  <c r="B1751"/>
  <c r="E1750"/>
  <c r="B1750"/>
  <c r="E1749"/>
  <c r="B1749"/>
  <c r="E1748"/>
  <c r="B1748"/>
  <c r="E1747"/>
  <c r="B1747"/>
  <c r="E1746"/>
  <c r="B1746"/>
  <c r="E1745"/>
  <c r="B1745"/>
  <c r="E1744"/>
  <c r="B1744"/>
  <c r="E1743"/>
  <c r="B1743"/>
  <c r="E1742"/>
  <c r="B1742"/>
  <c r="E1741"/>
  <c r="B1741"/>
  <c r="E1740"/>
  <c r="B1740"/>
  <c r="E1739"/>
  <c r="B1739"/>
  <c r="E1738"/>
  <c r="B1738"/>
  <c r="E1737"/>
  <c r="B1737"/>
  <c r="E1736"/>
  <c r="B1736"/>
  <c r="E1735"/>
  <c r="B1735"/>
  <c r="E1734"/>
  <c r="B1734"/>
  <c r="E1733"/>
  <c r="B1733"/>
  <c r="E1732"/>
  <c r="B1732"/>
  <c r="E1731"/>
  <c r="B1731"/>
  <c r="E1730"/>
  <c r="B1730"/>
  <c r="E1729"/>
  <c r="B1729"/>
  <c r="E1728"/>
  <c r="B1728"/>
  <c r="E1727"/>
  <c r="B1727"/>
  <c r="E1726"/>
  <c r="B1726"/>
  <c r="E1725"/>
  <c r="B1725"/>
  <c r="E1724"/>
  <c r="B1724"/>
  <c r="E1723"/>
  <c r="B1723"/>
  <c r="E1722"/>
  <c r="B1722"/>
  <c r="E1721"/>
  <c r="B1721"/>
  <c r="E1720"/>
  <c r="B1720"/>
  <c r="E1719"/>
  <c r="B1719"/>
  <c r="E1718"/>
  <c r="B1718"/>
  <c r="E1717"/>
  <c r="B1717"/>
  <c r="E1716"/>
  <c r="B1716"/>
  <c r="E1715"/>
  <c r="B1715"/>
  <c r="E1714"/>
  <c r="B1714"/>
  <c r="E1713"/>
  <c r="B1713"/>
  <c r="E1712"/>
  <c r="B1712"/>
  <c r="E1711"/>
  <c r="B1711"/>
  <c r="E1710"/>
  <c r="B1710"/>
  <c r="E1709"/>
  <c r="B1709"/>
  <c r="E1708"/>
  <c r="B1708"/>
  <c r="E1707"/>
  <c r="B1707"/>
  <c r="E1706"/>
  <c r="B1706"/>
  <c r="E1705"/>
  <c r="B1705"/>
  <c r="E1704"/>
  <c r="B1704"/>
  <c r="E1703"/>
  <c r="B1703"/>
  <c r="E1702"/>
  <c r="B1702"/>
  <c r="E1701"/>
  <c r="B1701"/>
  <c r="E1700"/>
  <c r="B1700"/>
  <c r="E1699"/>
  <c r="B1699"/>
  <c r="E1698"/>
  <c r="B1698"/>
  <c r="E1697"/>
  <c r="B1697"/>
  <c r="E1696"/>
  <c r="B1696"/>
  <c r="E1695"/>
  <c r="B1695"/>
  <c r="E1694"/>
  <c r="B1694"/>
  <c r="E1693"/>
  <c r="B1693"/>
  <c r="E1692"/>
  <c r="B1692"/>
  <c r="E1691"/>
  <c r="B1691"/>
  <c r="E1690"/>
  <c r="B1690"/>
  <c r="E1689"/>
  <c r="B1689"/>
  <c r="E1688"/>
  <c r="B1688"/>
  <c r="E1687"/>
  <c r="B1687"/>
  <c r="E1686"/>
  <c r="B1686"/>
  <c r="E1685"/>
  <c r="B1685"/>
  <c r="E1684"/>
  <c r="B1684"/>
  <c r="E1683"/>
  <c r="B1683"/>
  <c r="E1682"/>
  <c r="B1682"/>
  <c r="E1681"/>
  <c r="B1681"/>
  <c r="E1680"/>
  <c r="B1680"/>
  <c r="E1679"/>
  <c r="B1679"/>
  <c r="E1678"/>
  <c r="B1678"/>
  <c r="E1677"/>
  <c r="B1677"/>
  <c r="E1676"/>
  <c r="B1676"/>
  <c r="E1675"/>
  <c r="B1675"/>
  <c r="E1674"/>
  <c r="B1674"/>
  <c r="E1673"/>
  <c r="B1673"/>
  <c r="E1672"/>
  <c r="B1672"/>
  <c r="E1671"/>
  <c r="B1671"/>
  <c r="E1670"/>
  <c r="B1670"/>
  <c r="E1669"/>
  <c r="B1669"/>
  <c r="E1668"/>
  <c r="B1668"/>
  <c r="E1667"/>
  <c r="B1667"/>
  <c r="E1666"/>
  <c r="B1666"/>
  <c r="E1665"/>
  <c r="B1665"/>
  <c r="E1664"/>
  <c r="B1664"/>
  <c r="E1663"/>
  <c r="B1663"/>
  <c r="E1662"/>
  <c r="B1662"/>
  <c r="E1661"/>
  <c r="B1661"/>
  <c r="E1660"/>
  <c r="B1660"/>
  <c r="E1659"/>
  <c r="B1659"/>
  <c r="E1658"/>
  <c r="B1658"/>
  <c r="E1657"/>
  <c r="B1657"/>
  <c r="E1656"/>
  <c r="B1656"/>
  <c r="E1655"/>
  <c r="B1655"/>
  <c r="E1654"/>
  <c r="B1654"/>
  <c r="E1653"/>
  <c r="B1653"/>
  <c r="E1652"/>
  <c r="B1652"/>
  <c r="E1651"/>
  <c r="B1651"/>
  <c r="E1650"/>
  <c r="B1650"/>
  <c r="E1649"/>
  <c r="B1649"/>
  <c r="E1648"/>
  <c r="B1648"/>
  <c r="E1647"/>
  <c r="B1647"/>
  <c r="E1646"/>
  <c r="B1646"/>
  <c r="E1645"/>
  <c r="B1645"/>
  <c r="E1644"/>
  <c r="B1644"/>
  <c r="E1643"/>
  <c r="B1643"/>
  <c r="E1642"/>
  <c r="B1642"/>
  <c r="E1641"/>
  <c r="B1641"/>
  <c r="E1640"/>
  <c r="B1640"/>
  <c r="E1639"/>
  <c r="B1639"/>
  <c r="E1638"/>
  <c r="B1638"/>
  <c r="E1637"/>
  <c r="B1637"/>
  <c r="E1636"/>
  <c r="B1636"/>
  <c r="E1635"/>
  <c r="B1635"/>
  <c r="E1634"/>
  <c r="B1634"/>
  <c r="E1633"/>
  <c r="B1633"/>
  <c r="E1632"/>
  <c r="B1632"/>
  <c r="E1631"/>
  <c r="B1631"/>
  <c r="E1630"/>
  <c r="B1630"/>
  <c r="E1629"/>
  <c r="B1629"/>
  <c r="E1628"/>
  <c r="B1628"/>
  <c r="E1627"/>
  <c r="B1627"/>
  <c r="E1626"/>
  <c r="B1626"/>
  <c r="E1625"/>
  <c r="B1625"/>
  <c r="E1624"/>
  <c r="B1624"/>
  <c r="E1623"/>
  <c r="B1623"/>
  <c r="E1622"/>
  <c r="B1622"/>
  <c r="E1621"/>
  <c r="B1621"/>
  <c r="E1620"/>
  <c r="B1620"/>
  <c r="E1619"/>
  <c r="B1619"/>
  <c r="E1618"/>
  <c r="B1618"/>
  <c r="E1617"/>
  <c r="B1617"/>
  <c r="E1616"/>
  <c r="B1616"/>
  <c r="E1615"/>
  <c r="B1615"/>
  <c r="E1614"/>
  <c r="B1614"/>
  <c r="E1613"/>
  <c r="B1613"/>
  <c r="E1612"/>
  <c r="B1612"/>
  <c r="E1611"/>
  <c r="B1611"/>
  <c r="E1610"/>
  <c r="B1610"/>
  <c r="E1609"/>
  <c r="B1609"/>
  <c r="E1608"/>
  <c r="B1608"/>
  <c r="E1607"/>
  <c r="B1607"/>
  <c r="E1606"/>
  <c r="B1606"/>
  <c r="E1605"/>
  <c r="B1605"/>
  <c r="E1604"/>
  <c r="B1604"/>
  <c r="E1603"/>
  <c r="B1603"/>
  <c r="E1602"/>
  <c r="B1602"/>
  <c r="E1601"/>
  <c r="B1601"/>
  <c r="E1600"/>
  <c r="B1600"/>
  <c r="E1599"/>
  <c r="B1599"/>
  <c r="E1598"/>
  <c r="B1598"/>
  <c r="E1597"/>
  <c r="B1597"/>
  <c r="E1596"/>
  <c r="B1596"/>
  <c r="E1595"/>
  <c r="B1595"/>
  <c r="E1594"/>
  <c r="B1594"/>
  <c r="E1593"/>
  <c r="B1593"/>
  <c r="E1592"/>
  <c r="B1592"/>
  <c r="E1591"/>
  <c r="B1591"/>
  <c r="E1590"/>
  <c r="B1590"/>
  <c r="E1589"/>
  <c r="B1589"/>
  <c r="E1588"/>
  <c r="B1588"/>
  <c r="E1587"/>
  <c r="B1587"/>
  <c r="E1586"/>
  <c r="B1586"/>
  <c r="E1585"/>
  <c r="B1585"/>
  <c r="E1584"/>
  <c r="B1584"/>
  <c r="E1583"/>
  <c r="B1583"/>
  <c r="E1582"/>
  <c r="B1582"/>
  <c r="E1581"/>
  <c r="B1581"/>
  <c r="E1580"/>
  <c r="B1580"/>
  <c r="E1579"/>
  <c r="B1579"/>
  <c r="E1578"/>
  <c r="B1578"/>
  <c r="E1577"/>
  <c r="B1577"/>
  <c r="E1576"/>
  <c r="B1576"/>
  <c r="E1575"/>
  <c r="B1575"/>
  <c r="E1574"/>
  <c r="B1574"/>
  <c r="E1573"/>
  <c r="B1573"/>
  <c r="E1572"/>
  <c r="B1572"/>
  <c r="E1571"/>
  <c r="B1571"/>
  <c r="E1570"/>
  <c r="B1570"/>
  <c r="E1569"/>
  <c r="B1569"/>
  <c r="E1568"/>
  <c r="B1568"/>
  <c r="E1567"/>
  <c r="B1567"/>
  <c r="E1566"/>
  <c r="B1566"/>
  <c r="E1565"/>
  <c r="B1565"/>
  <c r="E1564"/>
  <c r="B1564"/>
  <c r="E1563"/>
  <c r="B1563"/>
  <c r="E1562"/>
  <c r="B1562"/>
  <c r="E1561"/>
  <c r="B1561"/>
  <c r="E1560"/>
  <c r="B1560"/>
  <c r="E1559"/>
  <c r="B1559"/>
  <c r="E1558"/>
  <c r="B1558"/>
  <c r="E1557"/>
  <c r="B1557"/>
  <c r="E1556"/>
  <c r="B1556"/>
  <c r="E1555"/>
  <c r="B1555"/>
  <c r="E1554"/>
  <c r="B1554"/>
  <c r="E1553"/>
  <c r="B1553"/>
  <c r="E1552"/>
  <c r="B1552"/>
  <c r="E1551"/>
  <c r="B1551"/>
  <c r="E1550"/>
  <c r="B1550"/>
  <c r="E1549"/>
  <c r="B1549"/>
  <c r="E1548"/>
  <c r="B1548"/>
  <c r="E1547"/>
  <c r="B1547"/>
  <c r="E1546"/>
  <c r="B1546"/>
  <c r="E1545"/>
  <c r="B1545"/>
  <c r="E1544"/>
  <c r="B1544"/>
  <c r="E1543"/>
  <c r="B1543"/>
  <c r="E1542"/>
  <c r="B1542"/>
  <c r="E1541"/>
  <c r="B1541"/>
  <c r="E1540"/>
  <c r="B1540"/>
  <c r="E1539"/>
  <c r="B1539"/>
  <c r="E1538"/>
  <c r="B1538"/>
  <c r="E1537"/>
  <c r="B1537"/>
  <c r="E1536"/>
  <c r="B1536"/>
  <c r="E1535"/>
  <c r="B1535"/>
  <c r="E1534"/>
  <c r="B1534"/>
  <c r="E1533"/>
  <c r="B1533"/>
  <c r="E1532"/>
  <c r="B1532"/>
  <c r="E1531"/>
  <c r="B1531"/>
  <c r="E1530"/>
  <c r="B1530"/>
  <c r="E1529"/>
  <c r="B1529"/>
  <c r="E1528"/>
  <c r="B1528"/>
  <c r="E1527"/>
  <c r="B1527"/>
  <c r="E1526"/>
  <c r="B1526"/>
  <c r="E1525"/>
  <c r="B1525"/>
  <c r="E1524"/>
  <c r="B1524"/>
  <c r="E1523"/>
  <c r="B1523"/>
  <c r="E1522"/>
  <c r="B1522"/>
  <c r="E1521"/>
  <c r="B1521"/>
  <c r="E1520"/>
  <c r="B1520"/>
  <c r="E1519"/>
  <c r="B1519"/>
  <c r="E1518"/>
  <c r="B1518"/>
  <c r="E1517"/>
  <c r="B1517"/>
  <c r="E1516"/>
  <c r="B1516"/>
  <c r="E1515"/>
  <c r="B1515"/>
  <c r="E1514"/>
  <c r="B1514"/>
  <c r="E1513"/>
  <c r="B1513"/>
  <c r="E1512"/>
  <c r="B1512"/>
  <c r="E1511"/>
  <c r="B1511"/>
  <c r="E1510"/>
  <c r="B1510"/>
  <c r="E1509"/>
  <c r="B1509"/>
  <c r="E1508"/>
  <c r="B1508"/>
  <c r="E1507"/>
  <c r="B1507"/>
  <c r="E1506"/>
  <c r="B1506"/>
  <c r="E1505"/>
  <c r="B1505"/>
  <c r="E1504"/>
  <c r="B1504"/>
  <c r="E1503"/>
  <c r="B1503"/>
  <c r="E1502"/>
  <c r="B1502"/>
  <c r="E1501"/>
  <c r="B1501"/>
  <c r="E1500"/>
  <c r="B1500"/>
  <c r="E1499"/>
  <c r="B1499"/>
  <c r="E1498"/>
  <c r="B1498"/>
  <c r="E1497"/>
  <c r="B1497"/>
  <c r="E1496"/>
  <c r="B1496"/>
  <c r="E1495"/>
  <c r="B1495"/>
  <c r="E1494"/>
  <c r="B1494"/>
  <c r="E1493"/>
  <c r="B1493"/>
  <c r="E1492"/>
  <c r="B1492"/>
  <c r="E1491"/>
  <c r="B1491"/>
  <c r="E1490"/>
  <c r="B1490"/>
  <c r="E1489"/>
  <c r="B1489"/>
  <c r="E1488"/>
  <c r="B1488"/>
  <c r="E1487"/>
  <c r="B1487"/>
  <c r="E1486"/>
  <c r="B1486"/>
  <c r="E1485"/>
  <c r="B1485"/>
  <c r="E1484"/>
  <c r="B1484"/>
  <c r="E1483"/>
  <c r="B1483"/>
  <c r="E1482"/>
  <c r="B1482"/>
  <c r="E1481"/>
  <c r="B1481"/>
  <c r="E1480"/>
  <c r="B1480"/>
  <c r="E1479"/>
  <c r="B1479"/>
  <c r="E1478"/>
  <c r="B1478"/>
  <c r="E1477"/>
  <c r="B1477"/>
  <c r="E1476"/>
  <c r="B1476"/>
  <c r="E1475"/>
  <c r="B1475"/>
  <c r="E1474"/>
  <c r="B1474"/>
  <c r="E1473"/>
  <c r="B1473"/>
  <c r="E1472"/>
  <c r="B1472"/>
  <c r="E1471"/>
  <c r="B1471"/>
  <c r="E1470"/>
  <c r="B1470"/>
  <c r="E1469"/>
  <c r="B1469"/>
  <c r="E1468"/>
  <c r="B1468"/>
  <c r="E1467"/>
  <c r="B1467"/>
  <c r="E1466"/>
  <c r="B1466"/>
  <c r="E1465"/>
  <c r="B1465"/>
  <c r="E1464"/>
  <c r="B1464"/>
  <c r="E1463"/>
  <c r="B1463"/>
  <c r="E1462"/>
  <c r="B1462"/>
  <c r="E1461"/>
  <c r="B1461"/>
  <c r="E1460"/>
  <c r="B1460"/>
  <c r="E1459"/>
  <c r="B1459"/>
  <c r="E1458"/>
  <c r="B1458"/>
  <c r="E1457"/>
  <c r="B1457"/>
  <c r="E1456"/>
  <c r="B1456"/>
  <c r="E1455"/>
  <c r="B1455"/>
  <c r="E1454"/>
  <c r="B1454"/>
  <c r="E1453"/>
  <c r="B1453"/>
  <c r="E1452"/>
  <c r="B1452"/>
  <c r="E1451"/>
  <c r="B1451"/>
  <c r="E1450"/>
  <c r="B1450"/>
  <c r="E1449"/>
  <c r="B1449"/>
  <c r="E1448"/>
  <c r="B1448"/>
  <c r="E1447"/>
  <c r="B1447"/>
  <c r="E1446"/>
  <c r="B1446"/>
  <c r="E1445"/>
  <c r="B1445"/>
  <c r="E1444"/>
  <c r="B1444"/>
  <c r="E1443"/>
  <c r="B1443"/>
  <c r="E1442"/>
  <c r="B1442"/>
  <c r="E1441"/>
  <c r="B1441"/>
  <c r="E1440"/>
  <c r="B1440"/>
  <c r="E1439"/>
  <c r="B1439"/>
  <c r="E1438"/>
  <c r="B1438"/>
  <c r="E1437"/>
  <c r="B1437"/>
  <c r="E1436"/>
  <c r="B1436"/>
  <c r="E1435"/>
  <c r="B1435"/>
  <c r="E1434"/>
  <c r="B1434"/>
  <c r="E1433"/>
  <c r="B1433"/>
  <c r="E1432"/>
  <c r="B1432"/>
  <c r="E1431"/>
  <c r="B1431"/>
  <c r="E1430"/>
  <c r="B1430"/>
  <c r="E1429"/>
  <c r="B1429"/>
  <c r="E1428"/>
  <c r="B1428"/>
  <c r="E1427"/>
  <c r="B1427"/>
  <c r="E1426"/>
  <c r="B1426"/>
  <c r="E1425"/>
  <c r="B1425"/>
  <c r="E1424"/>
  <c r="B1424"/>
  <c r="E1423"/>
  <c r="B1423"/>
  <c r="E1422"/>
  <c r="B1422"/>
  <c r="E1421"/>
  <c r="B1421"/>
  <c r="E1420"/>
  <c r="B1420"/>
  <c r="E1419"/>
  <c r="B1419"/>
  <c r="E1418"/>
  <c r="B1418"/>
  <c r="E1417"/>
  <c r="B1417"/>
  <c r="E1416"/>
  <c r="B1416"/>
  <c r="E1415"/>
  <c r="B1415"/>
  <c r="E1414"/>
  <c r="B1414"/>
  <c r="E1413"/>
  <c r="B1413"/>
  <c r="E1412"/>
  <c r="B1412"/>
  <c r="E1411"/>
  <c r="B1411"/>
  <c r="E1410"/>
  <c r="B1410"/>
  <c r="E1409"/>
  <c r="B1409"/>
  <c r="E1408"/>
  <c r="B1408"/>
  <c r="E1407"/>
  <c r="B1407"/>
  <c r="E1406"/>
  <c r="B1406"/>
  <c r="E1405"/>
  <c r="B1405"/>
  <c r="E1404"/>
  <c r="B1404"/>
  <c r="E1403"/>
  <c r="B1403"/>
  <c r="E1402"/>
  <c r="B1402"/>
  <c r="E1401"/>
  <c r="B1401"/>
  <c r="E1400"/>
  <c r="B1400"/>
  <c r="E1399"/>
  <c r="B1399"/>
  <c r="E1398"/>
  <c r="B1398"/>
  <c r="E1397"/>
  <c r="B1397"/>
  <c r="E1396"/>
  <c r="B1396"/>
  <c r="E1395"/>
  <c r="B1395"/>
  <c r="E1394"/>
  <c r="B1394"/>
  <c r="E1393"/>
  <c r="B1393"/>
  <c r="E1392"/>
  <c r="B1392"/>
  <c r="E1391"/>
  <c r="B1391"/>
  <c r="E1390"/>
  <c r="B1390"/>
  <c r="E1389"/>
  <c r="B1389"/>
  <c r="E1388"/>
  <c r="B1388"/>
  <c r="E1387"/>
  <c r="B1387"/>
  <c r="E1386"/>
  <c r="B1386"/>
  <c r="E1385"/>
  <c r="B1385"/>
  <c r="E1384"/>
  <c r="B1384"/>
  <c r="E1383"/>
  <c r="B1383"/>
  <c r="E1382"/>
  <c r="B1382"/>
  <c r="E1381"/>
  <c r="B1381"/>
  <c r="E1380"/>
  <c r="B1380"/>
  <c r="E1379"/>
  <c r="B1379"/>
  <c r="E1378"/>
  <c r="B1378"/>
  <c r="E1377"/>
  <c r="B1377"/>
  <c r="E1376"/>
  <c r="B1376"/>
  <c r="E1375"/>
  <c r="B1375"/>
  <c r="E1374"/>
  <c r="B1374"/>
  <c r="E1373"/>
  <c r="B1373"/>
  <c r="E1372"/>
  <c r="B1372"/>
  <c r="E1371"/>
  <c r="B1371"/>
  <c r="E1370"/>
  <c r="B1370"/>
  <c r="E1369"/>
  <c r="B1369"/>
  <c r="E1368"/>
  <c r="B1368"/>
  <c r="E1367"/>
  <c r="B1367"/>
  <c r="E1366"/>
  <c r="B1366"/>
  <c r="E1365"/>
  <c r="B1365"/>
  <c r="E1364"/>
  <c r="B1364"/>
  <c r="E1363"/>
  <c r="B1363"/>
  <c r="E1362"/>
  <c r="B1362"/>
  <c r="E1361"/>
  <c r="B1361"/>
  <c r="E1360"/>
  <c r="B1360"/>
  <c r="E1359"/>
  <c r="B1359"/>
  <c r="E1358"/>
  <c r="B1358"/>
  <c r="E1357"/>
  <c r="B1357"/>
  <c r="E1356"/>
  <c r="B1356"/>
  <c r="E1355"/>
  <c r="B1355"/>
  <c r="E1354"/>
  <c r="B1354"/>
  <c r="E1353"/>
  <c r="B1353"/>
  <c r="E1352"/>
  <c r="B1352"/>
  <c r="E1351"/>
  <c r="B1351"/>
  <c r="E1350"/>
  <c r="B1350"/>
  <c r="E1349"/>
  <c r="B1349"/>
  <c r="E1348"/>
  <c r="B1348"/>
  <c r="E1347"/>
  <c r="B1347"/>
  <c r="E1346"/>
  <c r="B1346"/>
  <c r="E1345"/>
  <c r="B1345"/>
  <c r="E1344"/>
  <c r="B1344"/>
  <c r="E1343"/>
  <c r="B1343"/>
  <c r="E1342"/>
  <c r="B1342"/>
  <c r="E1341"/>
  <c r="B1341"/>
  <c r="E1340"/>
  <c r="B1340"/>
  <c r="E1339"/>
  <c r="B1339"/>
  <c r="E1338"/>
  <c r="B1338"/>
  <c r="E1337"/>
  <c r="B1337"/>
  <c r="E1336"/>
  <c r="B1336"/>
  <c r="E1335"/>
  <c r="B1335"/>
  <c r="E1334"/>
  <c r="B1334"/>
  <c r="E1333"/>
  <c r="B1333"/>
  <c r="E1332"/>
  <c r="B1332"/>
  <c r="E1331"/>
  <c r="B1331"/>
  <c r="E1330"/>
  <c r="B1330"/>
  <c r="E1329"/>
  <c r="B1329"/>
  <c r="E1328"/>
  <c r="B1328"/>
  <c r="E1327"/>
  <c r="B1327"/>
  <c r="E1326"/>
  <c r="B1326"/>
  <c r="E1325"/>
  <c r="B1325"/>
  <c r="E1324"/>
  <c r="B1324"/>
  <c r="E1323"/>
  <c r="B1323"/>
  <c r="E1322"/>
  <c r="B1322"/>
  <c r="E1321"/>
  <c r="B1321"/>
  <c r="E1320"/>
  <c r="B1320"/>
  <c r="E1319"/>
  <c r="B1319"/>
  <c r="E1318"/>
  <c r="B1318"/>
  <c r="E1317"/>
  <c r="B1317"/>
  <c r="E1316"/>
  <c r="B1316"/>
  <c r="E1315"/>
  <c r="B1315"/>
  <c r="E1314"/>
  <c r="B1314"/>
  <c r="E1313"/>
  <c r="B1313"/>
  <c r="E1312"/>
  <c r="B1312"/>
  <c r="E1311"/>
  <c r="B1311"/>
  <c r="E1310"/>
  <c r="B1310"/>
  <c r="E1309"/>
  <c r="B1309"/>
  <c r="E1308"/>
  <c r="B1308"/>
  <c r="E1307"/>
  <c r="B1307"/>
  <c r="E1306"/>
  <c r="B1306"/>
  <c r="E1305"/>
  <c r="B1305"/>
  <c r="E1304"/>
  <c r="B1304"/>
  <c r="E1303"/>
  <c r="B1303"/>
  <c r="E1302"/>
  <c r="B1302"/>
  <c r="E1301"/>
  <c r="B1301"/>
  <c r="E1300"/>
  <c r="B1300"/>
  <c r="E1299"/>
  <c r="B1299"/>
  <c r="E1298"/>
  <c r="B1298"/>
  <c r="E1297"/>
  <c r="B1297"/>
  <c r="E1296"/>
  <c r="B1296"/>
  <c r="E1295"/>
  <c r="B1295"/>
  <c r="E1294"/>
  <c r="B1294"/>
  <c r="E1293"/>
  <c r="B1293"/>
  <c r="E1292"/>
  <c r="B1292"/>
  <c r="E1291"/>
  <c r="B1291"/>
  <c r="E1290"/>
  <c r="B1290"/>
  <c r="E1289"/>
  <c r="B1289"/>
  <c r="E1288"/>
  <c r="B1288"/>
  <c r="E1287"/>
  <c r="B1287"/>
  <c r="E1286"/>
  <c r="B1286"/>
  <c r="E1285"/>
  <c r="B1285"/>
  <c r="E1284"/>
  <c r="B1284"/>
  <c r="E1283"/>
  <c r="B1283"/>
  <c r="E1282"/>
  <c r="B1282"/>
  <c r="E1281"/>
  <c r="B1281"/>
  <c r="E1280"/>
  <c r="B1280"/>
  <c r="E1279"/>
  <c r="B1279"/>
  <c r="E1278"/>
  <c r="B1278"/>
  <c r="E1277"/>
  <c r="B1277"/>
  <c r="E1276"/>
  <c r="B1276"/>
  <c r="E1275"/>
  <c r="B1275"/>
  <c r="E1274"/>
  <c r="B1274"/>
  <c r="E1273"/>
  <c r="B1273"/>
  <c r="E1272"/>
  <c r="B1272"/>
  <c r="E1271"/>
  <c r="B1271"/>
  <c r="E1270"/>
  <c r="B1270"/>
  <c r="E1269"/>
  <c r="B1269"/>
  <c r="E1268"/>
  <c r="B1268"/>
  <c r="E1267"/>
  <c r="B1267"/>
  <c r="E1266"/>
  <c r="B1266"/>
  <c r="E1265"/>
  <c r="B1265"/>
  <c r="E1264"/>
  <c r="B1264"/>
  <c r="E1263"/>
  <c r="B1263"/>
  <c r="E1262"/>
  <c r="B1262"/>
  <c r="E1261"/>
  <c r="B1261"/>
  <c r="E1260"/>
  <c r="B1260"/>
  <c r="E1259"/>
  <c r="B1259"/>
  <c r="E1258"/>
  <c r="B1258"/>
  <c r="E1257"/>
  <c r="B1257"/>
  <c r="E1256"/>
  <c r="B1256"/>
  <c r="E1255"/>
  <c r="B1255"/>
  <c r="E1254"/>
  <c r="B1254"/>
  <c r="E1253"/>
  <c r="B1253"/>
  <c r="E1252"/>
  <c r="B1252"/>
  <c r="E1251"/>
  <c r="B1251"/>
  <c r="E1250"/>
  <c r="B1250"/>
  <c r="E1249"/>
  <c r="B1249"/>
  <c r="E1248"/>
  <c r="B1248"/>
  <c r="E1247"/>
  <c r="B1247"/>
  <c r="E1246"/>
  <c r="B1246"/>
  <c r="E1245"/>
  <c r="B1245"/>
  <c r="E1244"/>
  <c r="B1244"/>
  <c r="E1243"/>
  <c r="B1243"/>
  <c r="E1242"/>
  <c r="B1242"/>
  <c r="E1241"/>
  <c r="B1241"/>
  <c r="E1240"/>
  <c r="B1240"/>
  <c r="E1239"/>
  <c r="B1239"/>
  <c r="E1238"/>
  <c r="B1238"/>
  <c r="E1237"/>
  <c r="B1237"/>
  <c r="E1236"/>
  <c r="B1236"/>
  <c r="E1235"/>
  <c r="B1235"/>
  <c r="E1234"/>
  <c r="B1234"/>
  <c r="E1233"/>
  <c r="B1233"/>
  <c r="E1232"/>
  <c r="B1232"/>
  <c r="E1231"/>
  <c r="B1231"/>
  <c r="E1230"/>
  <c r="B1230"/>
  <c r="E1229"/>
  <c r="B1229"/>
  <c r="E1228"/>
  <c r="B1228"/>
  <c r="E1227"/>
  <c r="B1227"/>
  <c r="E1226"/>
  <c r="B1226"/>
  <c r="E1225"/>
  <c r="B1225"/>
  <c r="E1224"/>
  <c r="B1224"/>
  <c r="E1223"/>
  <c r="B1223"/>
  <c r="E1222"/>
  <c r="B1222"/>
  <c r="E1221"/>
  <c r="B1221"/>
  <c r="E1220"/>
  <c r="B1220"/>
  <c r="E1219"/>
  <c r="B1219"/>
  <c r="E1218"/>
  <c r="B1218"/>
  <c r="E1217"/>
  <c r="B1217"/>
  <c r="E1216"/>
  <c r="B1216"/>
  <c r="E1215"/>
  <c r="B1215"/>
  <c r="E1214"/>
  <c r="B1214"/>
  <c r="E1213"/>
  <c r="B1213"/>
  <c r="E1212"/>
  <c r="B1212"/>
  <c r="E1211"/>
  <c r="B1211"/>
  <c r="E1210"/>
  <c r="B1210"/>
  <c r="E1209"/>
  <c r="B1209"/>
  <c r="E1208"/>
  <c r="B1208"/>
  <c r="E1207"/>
  <c r="B1207"/>
  <c r="E1206"/>
  <c r="B1206"/>
  <c r="E1205"/>
  <c r="B1205"/>
  <c r="E1204"/>
  <c r="B1204"/>
  <c r="E1203"/>
  <c r="B1203"/>
  <c r="E1202"/>
  <c r="B1202"/>
  <c r="E1201"/>
  <c r="B1201"/>
  <c r="E1200"/>
  <c r="B1200"/>
  <c r="E1199"/>
  <c r="B1199"/>
  <c r="E1198"/>
  <c r="B1198"/>
  <c r="E1197"/>
  <c r="B1197"/>
  <c r="E1196"/>
  <c r="B1196"/>
  <c r="E1195"/>
  <c r="B1195"/>
  <c r="E1194"/>
  <c r="B1194"/>
  <c r="E1193"/>
  <c r="B1193"/>
  <c r="E1192"/>
  <c r="B1192"/>
  <c r="E1191"/>
  <c r="B1191"/>
  <c r="E1190"/>
  <c r="B1190"/>
  <c r="E1189"/>
  <c r="B1189"/>
  <c r="E1188"/>
  <c r="B1188"/>
  <c r="E1187"/>
  <c r="B1187"/>
  <c r="E1186"/>
  <c r="B1186"/>
  <c r="E1185"/>
  <c r="B1185"/>
  <c r="E1184"/>
  <c r="B1184"/>
  <c r="E1183"/>
  <c r="B1183"/>
  <c r="E1182"/>
  <c r="B1182"/>
  <c r="E1181"/>
  <c r="B1181"/>
  <c r="E1180"/>
  <c r="B1180"/>
  <c r="E1179"/>
  <c r="B1179"/>
  <c r="E1178"/>
  <c r="B1178"/>
  <c r="E1177"/>
  <c r="B1177"/>
  <c r="E1176"/>
  <c r="B1176"/>
  <c r="E1175"/>
  <c r="B1175"/>
  <c r="E1174"/>
  <c r="B1174"/>
  <c r="E1173"/>
  <c r="B1173"/>
  <c r="E1172"/>
  <c r="B1172"/>
  <c r="E1171"/>
  <c r="B1171"/>
  <c r="E1170"/>
  <c r="B1170"/>
  <c r="E1169"/>
  <c r="B1169"/>
  <c r="E1168"/>
  <c r="B1168"/>
  <c r="E1167"/>
  <c r="B1167"/>
  <c r="E1166"/>
  <c r="B1166"/>
  <c r="E1165"/>
  <c r="B1165"/>
  <c r="E1164"/>
  <c r="B1164"/>
  <c r="E1163"/>
  <c r="B1163"/>
  <c r="E1162"/>
  <c r="B1162"/>
  <c r="E1161"/>
  <c r="B1161"/>
  <c r="E1160"/>
  <c r="B1160"/>
  <c r="E1159"/>
  <c r="B1159"/>
  <c r="E1158"/>
  <c r="B1158"/>
  <c r="E1157"/>
  <c r="B1157"/>
  <c r="E1156"/>
  <c r="B1156"/>
  <c r="E1155"/>
  <c r="B1155"/>
  <c r="E1154"/>
  <c r="B1154"/>
  <c r="E1153"/>
  <c r="B1153"/>
  <c r="E1152"/>
  <c r="B1152"/>
  <c r="E1151"/>
  <c r="B1151"/>
  <c r="E1150"/>
  <c r="B1150"/>
  <c r="E1149"/>
  <c r="B1149"/>
  <c r="E1148"/>
  <c r="B1148"/>
  <c r="E1147"/>
  <c r="B1147"/>
  <c r="E1146"/>
  <c r="B1146"/>
  <c r="E1145"/>
  <c r="B1145"/>
  <c r="E1144"/>
  <c r="B1144"/>
  <c r="E1143"/>
  <c r="B1143"/>
  <c r="E1142"/>
  <c r="B1142"/>
  <c r="E1141"/>
  <c r="B1141"/>
  <c r="E1140"/>
  <c r="B1140"/>
  <c r="E1139"/>
  <c r="B1139"/>
  <c r="E1138"/>
  <c r="B1138"/>
  <c r="E1137"/>
  <c r="B1137"/>
  <c r="E1136"/>
  <c r="B1136"/>
  <c r="E1135"/>
  <c r="B1135"/>
  <c r="E1134"/>
  <c r="B1134"/>
  <c r="E1133"/>
  <c r="B1133"/>
  <c r="E1132"/>
  <c r="B1132"/>
  <c r="E1131"/>
  <c r="B1131"/>
  <c r="E1130"/>
  <c r="B1130"/>
  <c r="E1129"/>
  <c r="B1129"/>
  <c r="E1128"/>
  <c r="B1128"/>
  <c r="E1127"/>
  <c r="B1127"/>
  <c r="E1126"/>
  <c r="B1126"/>
  <c r="E1125"/>
  <c r="B1125"/>
  <c r="E1124"/>
  <c r="B1124"/>
  <c r="E1123"/>
  <c r="B1123"/>
  <c r="E1122"/>
  <c r="B1122"/>
  <c r="E1121"/>
  <c r="B1121"/>
  <c r="E1120"/>
  <c r="B1120"/>
  <c r="E1119"/>
  <c r="B1119"/>
  <c r="E1118"/>
  <c r="B1118"/>
  <c r="E1117"/>
  <c r="B1117"/>
  <c r="E1116"/>
  <c r="B1116"/>
  <c r="E1115"/>
  <c r="B1115"/>
  <c r="E1114"/>
  <c r="B1114"/>
  <c r="E1113"/>
  <c r="B1113"/>
  <c r="E1112"/>
  <c r="B1112"/>
  <c r="E1111"/>
  <c r="B1111"/>
  <c r="E1110"/>
  <c r="B1110"/>
  <c r="E1109"/>
  <c r="B1109"/>
  <c r="E1108"/>
  <c r="B1108"/>
  <c r="E1107"/>
  <c r="B1107"/>
  <c r="E1106"/>
  <c r="B1106"/>
  <c r="E1105"/>
  <c r="B1105"/>
  <c r="E1104"/>
  <c r="B1104"/>
  <c r="E1103"/>
  <c r="B1103"/>
  <c r="E1102"/>
  <c r="B1102"/>
  <c r="E1101"/>
  <c r="B1101"/>
  <c r="E1100"/>
  <c r="B1100"/>
  <c r="E1099"/>
  <c r="B1099"/>
  <c r="E1098"/>
  <c r="B1098"/>
  <c r="E1097"/>
  <c r="B1097"/>
  <c r="E1096"/>
  <c r="B1096"/>
  <c r="E1095"/>
  <c r="B1095"/>
  <c r="E1094"/>
  <c r="B1094"/>
  <c r="E1093"/>
  <c r="B1093"/>
  <c r="E1092"/>
  <c r="B1092"/>
  <c r="E1091"/>
  <c r="B1091"/>
  <c r="E1090"/>
  <c r="B1090"/>
  <c r="E1089"/>
  <c r="B1089"/>
  <c r="E1088"/>
  <c r="B1088"/>
  <c r="E1087"/>
  <c r="B1087"/>
  <c r="E1086"/>
  <c r="B1086"/>
  <c r="E1085"/>
  <c r="B1085"/>
  <c r="E1084"/>
  <c r="B1084"/>
  <c r="E1083"/>
  <c r="B1083"/>
  <c r="E1082"/>
  <c r="B1082"/>
  <c r="E1081"/>
  <c r="B1081"/>
  <c r="E1080"/>
  <c r="B1080"/>
  <c r="E1079"/>
  <c r="B1079"/>
  <c r="E1078"/>
  <c r="B1078"/>
  <c r="E1077"/>
  <c r="B1077"/>
  <c r="E1076"/>
  <c r="B1076"/>
  <c r="E1075"/>
  <c r="B1075"/>
  <c r="E1074"/>
  <c r="B1074"/>
  <c r="E1073"/>
  <c r="B1073"/>
  <c r="E1072"/>
  <c r="B1072"/>
  <c r="E1071"/>
  <c r="B1071"/>
  <c r="E1070"/>
  <c r="B1070"/>
  <c r="E1069"/>
  <c r="B1069"/>
  <c r="E1068"/>
  <c r="B1068"/>
  <c r="E1067"/>
  <c r="B1067"/>
  <c r="E1066"/>
  <c r="B1066"/>
  <c r="E1065"/>
  <c r="B1065"/>
  <c r="E1064"/>
  <c r="B1064"/>
  <c r="E1063"/>
  <c r="B1063"/>
  <c r="E1062"/>
  <c r="B1062"/>
  <c r="E1061"/>
  <c r="B1061"/>
  <c r="E1060"/>
  <c r="B1060"/>
  <c r="E1059"/>
  <c r="B1059"/>
  <c r="E1058"/>
  <c r="B1058"/>
  <c r="E1057"/>
  <c r="B1057"/>
  <c r="E1056"/>
  <c r="B1056"/>
  <c r="E1055"/>
  <c r="B1055"/>
  <c r="E1054"/>
  <c r="B1054"/>
  <c r="E1053"/>
  <c r="B1053"/>
  <c r="E1052"/>
  <c r="B1052"/>
  <c r="E1051"/>
  <c r="B1051"/>
  <c r="E1050"/>
  <c r="B1050"/>
  <c r="E1049"/>
  <c r="B1049"/>
  <c r="E1048"/>
  <c r="B1048"/>
  <c r="E1047"/>
  <c r="B1047"/>
  <c r="E1046"/>
  <c r="B1046"/>
  <c r="E1045"/>
  <c r="B1045"/>
  <c r="E1044"/>
  <c r="B1044"/>
  <c r="E1043"/>
  <c r="B1043"/>
  <c r="E1042"/>
  <c r="B1042"/>
  <c r="E1041"/>
  <c r="B1041"/>
  <c r="E1040"/>
  <c r="B1040"/>
  <c r="E1039"/>
  <c r="B1039"/>
  <c r="E1038"/>
  <c r="B1038"/>
  <c r="E1037"/>
  <c r="B1037"/>
  <c r="E1036"/>
  <c r="B1036"/>
  <c r="E1035"/>
  <c r="B1035"/>
  <c r="E1034"/>
  <c r="B1034"/>
  <c r="E1033"/>
  <c r="B1033"/>
  <c r="E1032"/>
  <c r="B1032"/>
  <c r="E1031"/>
  <c r="B1031"/>
  <c r="E1030"/>
  <c r="B1030"/>
  <c r="E1029"/>
  <c r="B1029"/>
  <c r="E1028"/>
  <c r="B1028"/>
  <c r="E1027"/>
  <c r="B1027"/>
  <c r="E1026"/>
  <c r="B1026"/>
  <c r="E1025"/>
  <c r="B1025"/>
  <c r="E1024"/>
  <c r="B1024"/>
  <c r="E1023"/>
  <c r="B1023"/>
  <c r="E1022"/>
  <c r="B1022"/>
  <c r="E1021"/>
  <c r="B1021"/>
  <c r="E1020"/>
  <c r="B1020"/>
  <c r="E1019"/>
  <c r="B1019"/>
  <c r="E1018"/>
  <c r="B1018"/>
  <c r="E1017"/>
  <c r="B1017"/>
  <c r="E1016"/>
  <c r="B1016"/>
  <c r="E1015"/>
  <c r="B1015"/>
  <c r="E1014"/>
  <c r="B1014"/>
  <c r="E1013"/>
  <c r="B1013"/>
  <c r="E1012"/>
  <c r="B1012"/>
  <c r="E1011"/>
  <c r="B1011"/>
  <c r="E1010"/>
  <c r="B1010"/>
  <c r="E1009"/>
  <c r="B1009"/>
  <c r="E1008"/>
  <c r="B1008"/>
  <c r="E1007"/>
  <c r="B1007"/>
  <c r="E1006"/>
  <c r="B1006"/>
  <c r="E1005"/>
  <c r="B1005"/>
  <c r="E1004"/>
  <c r="B1004"/>
  <c r="E1003"/>
  <c r="B1003"/>
  <c r="E1002"/>
  <c r="B1002"/>
  <c r="E1001"/>
  <c r="B1001"/>
  <c r="E1000"/>
  <c r="B1000"/>
  <c r="E999"/>
  <c r="B999"/>
  <c r="E998"/>
  <c r="B998"/>
  <c r="E997"/>
  <c r="B997"/>
  <c r="E996"/>
  <c r="B996"/>
  <c r="E995"/>
  <c r="B995"/>
  <c r="E994"/>
  <c r="B994"/>
  <c r="E993"/>
  <c r="B993"/>
  <c r="E992"/>
  <c r="B992"/>
  <c r="E991"/>
  <c r="B991"/>
  <c r="E990"/>
  <c r="B990"/>
  <c r="E989"/>
  <c r="B989"/>
  <c r="E988"/>
  <c r="B988"/>
  <c r="E987"/>
  <c r="B987"/>
  <c r="E986"/>
  <c r="B986"/>
  <c r="E985"/>
  <c r="B985"/>
  <c r="E984"/>
  <c r="B984"/>
  <c r="E983"/>
  <c r="B983"/>
  <c r="E982"/>
  <c r="B982"/>
  <c r="E981"/>
  <c r="B981"/>
  <c r="E980"/>
  <c r="B980"/>
  <c r="E979"/>
  <c r="B979"/>
  <c r="E978"/>
  <c r="B978"/>
  <c r="E977"/>
  <c r="B977"/>
  <c r="E976"/>
  <c r="B976"/>
  <c r="E975"/>
  <c r="B975"/>
  <c r="E974"/>
  <c r="B974"/>
  <c r="E973"/>
  <c r="B973"/>
  <c r="E972"/>
  <c r="B972"/>
  <c r="E971"/>
  <c r="B971"/>
  <c r="E970"/>
  <c r="B970"/>
  <c r="E969"/>
  <c r="B969"/>
  <c r="E968"/>
  <c r="B968"/>
  <c r="E967"/>
  <c r="B967"/>
  <c r="E966"/>
  <c r="B966"/>
  <c r="E965"/>
  <c r="B965"/>
  <c r="E964"/>
  <c r="B964"/>
  <c r="E963"/>
  <c r="B963"/>
  <c r="E962"/>
  <c r="B962"/>
  <c r="E961"/>
  <c r="B961"/>
  <c r="E960"/>
  <c r="B960"/>
  <c r="E959"/>
  <c r="B959"/>
  <c r="E958"/>
  <c r="B958"/>
  <c r="E957"/>
  <c r="B957"/>
  <c r="E956"/>
  <c r="B956"/>
  <c r="E955"/>
  <c r="B955"/>
  <c r="E954"/>
  <c r="B954"/>
  <c r="E953"/>
  <c r="B953"/>
  <c r="E952"/>
  <c r="B952"/>
  <c r="E951"/>
  <c r="B951"/>
  <c r="E950"/>
  <c r="B950"/>
  <c r="E949"/>
  <c r="B949"/>
  <c r="E948"/>
  <c r="B948"/>
  <c r="E947"/>
  <c r="B947"/>
  <c r="E946"/>
  <c r="B946"/>
  <c r="E945"/>
  <c r="B945"/>
  <c r="E944"/>
  <c r="B944"/>
  <c r="E943"/>
  <c r="B943"/>
  <c r="E942"/>
  <c r="B942"/>
  <c r="E941"/>
  <c r="B941"/>
  <c r="E940"/>
  <c r="B940"/>
  <c r="E939"/>
  <c r="B939"/>
  <c r="E938"/>
  <c r="B938"/>
  <c r="E937"/>
  <c r="B937"/>
  <c r="E936"/>
  <c r="B936"/>
  <c r="E935"/>
  <c r="B935"/>
  <c r="E934"/>
  <c r="B934"/>
  <c r="E933"/>
  <c r="B933"/>
  <c r="E932"/>
  <c r="B932"/>
  <c r="E931"/>
  <c r="B931"/>
  <c r="E930"/>
  <c r="B930"/>
  <c r="E929"/>
  <c r="B929"/>
  <c r="E928"/>
  <c r="B928"/>
  <c r="E927"/>
  <c r="B927"/>
  <c r="E926"/>
  <c r="B926"/>
  <c r="E925"/>
  <c r="B925"/>
  <c r="E924"/>
  <c r="B924"/>
  <c r="E923"/>
  <c r="B923"/>
  <c r="E922"/>
  <c r="B922"/>
  <c r="E921"/>
  <c r="B921"/>
  <c r="E920"/>
  <c r="B920"/>
  <c r="E919"/>
  <c r="B919"/>
  <c r="E918"/>
  <c r="B918"/>
  <c r="E917"/>
  <c r="B917"/>
  <c r="E916"/>
  <c r="B916"/>
  <c r="E915"/>
  <c r="B915"/>
  <c r="E914"/>
  <c r="B914"/>
  <c r="E913"/>
  <c r="B913"/>
  <c r="E912"/>
  <c r="B912"/>
  <c r="E911"/>
  <c r="B911"/>
  <c r="E910"/>
  <c r="B910"/>
  <c r="E909"/>
  <c r="B909"/>
  <c r="E908"/>
  <c r="B908"/>
  <c r="E907"/>
  <c r="B907"/>
  <c r="E906"/>
  <c r="B906"/>
  <c r="E905"/>
  <c r="B905"/>
  <c r="E904"/>
  <c r="B904"/>
  <c r="E903"/>
  <c r="B903"/>
  <c r="E902"/>
  <c r="B902"/>
  <c r="E901"/>
  <c r="B901"/>
  <c r="E900"/>
  <c r="B900"/>
  <c r="E899"/>
  <c r="B899"/>
  <c r="E898"/>
  <c r="B898"/>
  <c r="E897"/>
  <c r="B897"/>
  <c r="E896"/>
  <c r="B896"/>
  <c r="E895"/>
  <c r="B895"/>
  <c r="E894"/>
  <c r="B894"/>
  <c r="E893"/>
  <c r="B893"/>
  <c r="E892"/>
  <c r="B892"/>
  <c r="E891"/>
  <c r="B891"/>
  <c r="E890"/>
  <c r="B890"/>
  <c r="E889"/>
  <c r="B889"/>
  <c r="E888"/>
  <c r="B888"/>
  <c r="E887"/>
  <c r="B887"/>
  <c r="E886"/>
  <c r="B886"/>
  <c r="E885"/>
  <c r="B885"/>
  <c r="E884"/>
  <c r="B884"/>
  <c r="E883"/>
  <c r="B883"/>
  <c r="E882"/>
  <c r="B882"/>
  <c r="E881"/>
  <c r="B881"/>
  <c r="E880"/>
  <c r="B880"/>
  <c r="E879"/>
  <c r="B879"/>
  <c r="E878"/>
  <c r="B878"/>
  <c r="E877"/>
  <c r="B877"/>
  <c r="E876"/>
  <c r="B876"/>
  <c r="E875"/>
  <c r="B875"/>
  <c r="E874"/>
  <c r="B874"/>
  <c r="E873"/>
  <c r="B873"/>
  <c r="E872"/>
  <c r="B872"/>
  <c r="E871"/>
  <c r="B871"/>
  <c r="E870"/>
  <c r="B870"/>
  <c r="E869"/>
  <c r="B869"/>
  <c r="E868"/>
  <c r="B868"/>
  <c r="E867"/>
  <c r="B867"/>
  <c r="E866"/>
  <c r="B866"/>
  <c r="E865"/>
  <c r="B865"/>
  <c r="E864"/>
  <c r="B864"/>
  <c r="E863"/>
  <c r="B863"/>
  <c r="E862"/>
  <c r="B862"/>
  <c r="E861"/>
  <c r="B861"/>
  <c r="E860"/>
  <c r="B860"/>
  <c r="E859"/>
  <c r="B859"/>
  <c r="E858"/>
  <c r="B858"/>
  <c r="E857"/>
  <c r="B857"/>
  <c r="E856"/>
  <c r="B856"/>
  <c r="E855"/>
  <c r="B855"/>
  <c r="E854"/>
  <c r="B854"/>
  <c r="E853"/>
  <c r="B853"/>
  <c r="E852"/>
  <c r="B852"/>
  <c r="E851"/>
  <c r="B851"/>
  <c r="E850"/>
  <c r="B850"/>
  <c r="E849"/>
  <c r="B849"/>
  <c r="E848"/>
  <c r="B848"/>
  <c r="E847"/>
  <c r="B847"/>
  <c r="E846"/>
  <c r="B846"/>
  <c r="E845"/>
  <c r="B845"/>
  <c r="E844"/>
  <c r="B844"/>
  <c r="E843"/>
  <c r="B843"/>
  <c r="E842"/>
  <c r="B842"/>
  <c r="E841"/>
  <c r="B841"/>
  <c r="E840"/>
  <c r="B840"/>
  <c r="E839"/>
  <c r="B839"/>
  <c r="E838"/>
  <c r="B838"/>
  <c r="E837"/>
  <c r="B837"/>
  <c r="E836"/>
  <c r="B836"/>
  <c r="E835"/>
  <c r="B835"/>
  <c r="E834"/>
  <c r="B834"/>
  <c r="E833"/>
  <c r="B833"/>
  <c r="E832"/>
  <c r="B832"/>
  <c r="E831"/>
  <c r="B831"/>
  <c r="E830"/>
  <c r="B830"/>
  <c r="E829"/>
  <c r="B829"/>
  <c r="E828"/>
  <c r="B828"/>
  <c r="E827"/>
  <c r="B827"/>
  <c r="E826"/>
  <c r="B826"/>
  <c r="E825"/>
  <c r="B825"/>
  <c r="E824"/>
  <c r="B824"/>
  <c r="E823"/>
  <c r="B823"/>
  <c r="E822"/>
  <c r="B822"/>
  <c r="E821"/>
  <c r="B821"/>
  <c r="E820"/>
  <c r="B820"/>
  <c r="E819"/>
  <c r="B819"/>
  <c r="E818"/>
  <c r="B818"/>
  <c r="E817"/>
  <c r="B817"/>
  <c r="E816"/>
  <c r="B816"/>
  <c r="E815"/>
  <c r="B815"/>
  <c r="E814"/>
  <c r="B814"/>
  <c r="E813"/>
  <c r="B813"/>
  <c r="E812"/>
  <c r="B812"/>
  <c r="E811"/>
  <c r="B811"/>
  <c r="E810"/>
  <c r="B810"/>
  <c r="E809"/>
  <c r="B809"/>
  <c r="E808"/>
  <c r="B808"/>
  <c r="E807"/>
  <c r="B807"/>
  <c r="E806"/>
  <c r="B806"/>
  <c r="E805"/>
  <c r="B805"/>
  <c r="E804"/>
  <c r="B804"/>
  <c r="E803"/>
  <c r="B803"/>
  <c r="E802"/>
  <c r="B802"/>
  <c r="E801"/>
  <c r="B801"/>
  <c r="E800"/>
  <c r="B800"/>
  <c r="E799"/>
  <c r="B799"/>
  <c r="E798"/>
  <c r="B798"/>
  <c r="E797"/>
  <c r="B797"/>
  <c r="E796"/>
  <c r="B796"/>
  <c r="E795"/>
  <c r="B795"/>
  <c r="E794"/>
  <c r="B794"/>
  <c r="E793"/>
  <c r="B793"/>
  <c r="E792"/>
  <c r="B792"/>
  <c r="E791"/>
  <c r="B791"/>
  <c r="E790"/>
  <c r="B790"/>
  <c r="E789"/>
  <c r="B789"/>
  <c r="E788"/>
  <c r="B788"/>
  <c r="E787"/>
  <c r="B787"/>
  <c r="E786"/>
  <c r="B786"/>
  <c r="E785"/>
  <c r="B785"/>
  <c r="E784"/>
  <c r="B784"/>
  <c r="E783"/>
  <c r="B783"/>
  <c r="E782"/>
  <c r="B782"/>
  <c r="E781"/>
  <c r="B781"/>
  <c r="E780"/>
  <c r="B780"/>
  <c r="E779"/>
  <c r="B779"/>
  <c r="E778"/>
  <c r="B778"/>
  <c r="E777"/>
  <c r="B777"/>
  <c r="E776"/>
  <c r="B776"/>
  <c r="E775"/>
  <c r="B775"/>
  <c r="E774"/>
  <c r="B774"/>
  <c r="E773"/>
  <c r="B773"/>
  <c r="E772"/>
  <c r="B772"/>
  <c r="E771"/>
  <c r="B771"/>
  <c r="E770"/>
  <c r="B770"/>
  <c r="E769"/>
  <c r="B769"/>
  <c r="E768"/>
  <c r="B768"/>
  <c r="E767"/>
  <c r="B767"/>
  <c r="E766"/>
  <c r="B766"/>
  <c r="E765"/>
  <c r="B765"/>
  <c r="E764"/>
  <c r="B764"/>
  <c r="E763"/>
  <c r="B763"/>
  <c r="E762"/>
  <c r="B762"/>
  <c r="E761"/>
  <c r="B761"/>
  <c r="E760"/>
  <c r="B760"/>
  <c r="E759"/>
  <c r="B759"/>
  <c r="E758"/>
  <c r="B758"/>
  <c r="E757"/>
  <c r="B757"/>
  <c r="E756"/>
  <c r="B756"/>
  <c r="E755"/>
  <c r="B755"/>
  <c r="E754"/>
  <c r="B754"/>
  <c r="E753"/>
  <c r="B753"/>
  <c r="E752"/>
  <c r="B752"/>
  <c r="E751"/>
  <c r="B751"/>
  <c r="E750"/>
  <c r="B750"/>
  <c r="E749"/>
  <c r="B749"/>
  <c r="E748"/>
  <c r="B748"/>
  <c r="E747"/>
  <c r="B747"/>
  <c r="E746"/>
  <c r="B746"/>
  <c r="E745"/>
  <c r="B745"/>
  <c r="E744"/>
  <c r="B744"/>
  <c r="E743"/>
  <c r="B743"/>
  <c r="E742"/>
  <c r="B742"/>
  <c r="E741"/>
  <c r="B741"/>
  <c r="E740"/>
  <c r="B740"/>
  <c r="E739"/>
  <c r="B739"/>
  <c r="E738"/>
  <c r="B738"/>
  <c r="E737"/>
  <c r="B737"/>
  <c r="E736"/>
  <c r="B736"/>
  <c r="E735"/>
  <c r="B735"/>
  <c r="E734"/>
  <c r="B734"/>
  <c r="E733"/>
  <c r="B733"/>
  <c r="E732"/>
  <c r="B732"/>
  <c r="E731"/>
  <c r="B731"/>
  <c r="E730"/>
  <c r="B730"/>
  <c r="E729"/>
  <c r="B729"/>
  <c r="E728"/>
  <c r="B728"/>
  <c r="E727"/>
  <c r="B727"/>
  <c r="E726"/>
  <c r="B726"/>
  <c r="E725"/>
  <c r="B725"/>
  <c r="E724"/>
  <c r="B724"/>
  <c r="E723"/>
  <c r="B723"/>
  <c r="E722"/>
  <c r="B722"/>
  <c r="E721"/>
  <c r="B721"/>
  <c r="E720"/>
  <c r="B720"/>
  <c r="E719"/>
  <c r="B719"/>
  <c r="E718"/>
  <c r="B718"/>
  <c r="E717"/>
  <c r="B717"/>
  <c r="E716"/>
  <c r="B716"/>
  <c r="E715"/>
  <c r="B715"/>
  <c r="E714"/>
  <c r="B714"/>
  <c r="E713"/>
  <c r="B713"/>
  <c r="E712"/>
  <c r="B712"/>
  <c r="E711"/>
  <c r="B711"/>
  <c r="E710"/>
  <c r="B710"/>
  <c r="E709"/>
  <c r="B709"/>
  <c r="E708"/>
  <c r="B708"/>
  <c r="E707"/>
  <c r="B707"/>
  <c r="E706"/>
  <c r="B706"/>
  <c r="E705"/>
  <c r="B705"/>
  <c r="E704"/>
  <c r="B704"/>
  <c r="E703"/>
  <c r="B703"/>
  <c r="E702"/>
  <c r="B702"/>
  <c r="E701"/>
  <c r="B701"/>
  <c r="E700"/>
  <c r="B700"/>
  <c r="E699"/>
  <c r="B699"/>
  <c r="E698"/>
  <c r="B698"/>
  <c r="E697"/>
  <c r="B697"/>
  <c r="E696"/>
  <c r="B696"/>
  <c r="E695"/>
  <c r="B695"/>
  <c r="E694"/>
  <c r="B694"/>
  <c r="E693"/>
  <c r="B693"/>
  <c r="E692"/>
  <c r="B692"/>
  <c r="E691"/>
  <c r="B691"/>
  <c r="E690"/>
  <c r="B690"/>
  <c r="E689"/>
  <c r="B689"/>
  <c r="E688"/>
  <c r="B688"/>
  <c r="E687"/>
  <c r="B687"/>
  <c r="E686"/>
  <c r="B686"/>
  <c r="E685"/>
  <c r="B685"/>
  <c r="E684"/>
  <c r="B684"/>
  <c r="E683"/>
  <c r="B683"/>
  <c r="E682"/>
  <c r="B682"/>
  <c r="E681"/>
  <c r="B681"/>
  <c r="E680"/>
  <c r="B680"/>
  <c r="E679"/>
  <c r="B679"/>
  <c r="E678"/>
  <c r="B678"/>
  <c r="E677"/>
  <c r="B677"/>
  <c r="E676"/>
  <c r="B676"/>
  <c r="E675"/>
  <c r="B675"/>
  <c r="E674"/>
  <c r="B674"/>
  <c r="E673"/>
  <c r="B673"/>
  <c r="E672"/>
  <c r="B672"/>
  <c r="E671"/>
  <c r="B671"/>
  <c r="E670"/>
  <c r="B670"/>
  <c r="E669"/>
  <c r="B669"/>
  <c r="E668"/>
  <c r="B668"/>
  <c r="E667"/>
  <c r="B667"/>
  <c r="E666"/>
  <c r="B666"/>
  <c r="E665"/>
  <c r="B665"/>
  <c r="E664"/>
  <c r="B664"/>
  <c r="E663"/>
  <c r="B663"/>
  <c r="E662"/>
  <c r="B662"/>
  <c r="E661"/>
  <c r="B661"/>
  <c r="E660"/>
  <c r="B660"/>
  <c r="E659"/>
  <c r="B659"/>
  <c r="E658"/>
  <c r="B658"/>
  <c r="E657"/>
  <c r="B657"/>
  <c r="E656"/>
  <c r="B656"/>
  <c r="E655"/>
  <c r="B655"/>
  <c r="E654"/>
  <c r="B654"/>
  <c r="E653"/>
  <c r="B653"/>
  <c r="E652"/>
  <c r="B652"/>
  <c r="E651"/>
  <c r="B651"/>
  <c r="E650"/>
  <c r="B650"/>
  <c r="E649"/>
  <c r="B649"/>
  <c r="E648"/>
  <c r="B648"/>
  <c r="E647"/>
  <c r="B647"/>
  <c r="E646"/>
  <c r="B646"/>
  <c r="E645"/>
  <c r="B645"/>
  <c r="E644"/>
  <c r="B644"/>
  <c r="E643"/>
  <c r="B643"/>
  <c r="E642"/>
  <c r="B642"/>
  <c r="E641"/>
  <c r="B641"/>
  <c r="E640"/>
  <c r="B640"/>
  <c r="E639"/>
  <c r="B639"/>
  <c r="E638"/>
  <c r="B638"/>
  <c r="E637"/>
  <c r="B637"/>
  <c r="E636"/>
  <c r="B636"/>
  <c r="E635"/>
  <c r="B635"/>
  <c r="E634"/>
  <c r="B634"/>
  <c r="E633"/>
  <c r="B633"/>
  <c r="E632"/>
  <c r="B632"/>
  <c r="E631"/>
  <c r="B631"/>
  <c r="E630"/>
  <c r="B630"/>
  <c r="E629"/>
  <c r="B629"/>
  <c r="E628"/>
  <c r="B628"/>
  <c r="E627"/>
  <c r="B627"/>
  <c r="E626"/>
  <c r="B626"/>
  <c r="E625"/>
  <c r="B625"/>
  <c r="E624"/>
  <c r="B624"/>
  <c r="E623"/>
  <c r="B623"/>
  <c r="E622"/>
  <c r="B622"/>
  <c r="E621"/>
  <c r="B621"/>
  <c r="E620"/>
  <c r="B620"/>
  <c r="E619"/>
  <c r="B619"/>
  <c r="E618"/>
  <c r="B618"/>
  <c r="E617"/>
  <c r="B617"/>
  <c r="E616"/>
  <c r="B616"/>
  <c r="E615"/>
  <c r="B615"/>
  <c r="E614"/>
  <c r="B614"/>
  <c r="E613"/>
  <c r="B613"/>
  <c r="E612"/>
  <c r="B612"/>
  <c r="E611"/>
  <c r="B611"/>
  <c r="E610"/>
  <c r="B610"/>
  <c r="E609"/>
  <c r="B609"/>
  <c r="E608"/>
  <c r="B608"/>
  <c r="E607"/>
  <c r="B607"/>
  <c r="E606"/>
  <c r="B606"/>
  <c r="E605"/>
  <c r="B605"/>
  <c r="E604"/>
  <c r="B604"/>
  <c r="E603"/>
  <c r="B603"/>
  <c r="E602"/>
  <c r="B602"/>
  <c r="E601"/>
  <c r="B601"/>
  <c r="E600"/>
  <c r="B600"/>
  <c r="E599"/>
  <c r="B599"/>
  <c r="E598"/>
  <c r="B598"/>
  <c r="E597"/>
  <c r="B597"/>
  <c r="E596"/>
  <c r="B596"/>
  <c r="E595"/>
  <c r="B595"/>
  <c r="E594"/>
  <c r="B594"/>
  <c r="E593"/>
  <c r="B593"/>
  <c r="E592"/>
  <c r="B592"/>
  <c r="E591"/>
  <c r="B591"/>
  <c r="E590"/>
  <c r="B590"/>
  <c r="E589"/>
  <c r="B589"/>
  <c r="E588"/>
  <c r="B588"/>
  <c r="E587"/>
  <c r="B587"/>
  <c r="E586"/>
  <c r="B586"/>
  <c r="E585"/>
  <c r="B585"/>
  <c r="E584"/>
  <c r="B584"/>
  <c r="E583"/>
  <c r="B583"/>
  <c r="E582"/>
  <c r="B582"/>
  <c r="E581"/>
  <c r="B581"/>
  <c r="E580"/>
  <c r="B580"/>
  <c r="E579"/>
  <c r="B579"/>
  <c r="E578"/>
  <c r="B578"/>
  <c r="E577"/>
  <c r="B577"/>
  <c r="E576"/>
  <c r="B576"/>
  <c r="E575"/>
  <c r="B575"/>
  <c r="E574"/>
  <c r="B574"/>
  <c r="E573"/>
  <c r="B573"/>
  <c r="E572"/>
  <c r="B572"/>
  <c r="E571"/>
  <c r="B571"/>
  <c r="E570"/>
  <c r="B570"/>
  <c r="E569"/>
  <c r="B569"/>
  <c r="E568"/>
  <c r="B568"/>
  <c r="E567"/>
  <c r="B567"/>
  <c r="E566"/>
  <c r="B566"/>
  <c r="E565"/>
  <c r="B565"/>
  <c r="E564"/>
  <c r="B564"/>
  <c r="E563"/>
  <c r="B563"/>
  <c r="E562"/>
  <c r="B562"/>
  <c r="E561"/>
  <c r="B561"/>
  <c r="E560"/>
  <c r="B560"/>
  <c r="E559"/>
  <c r="B559"/>
  <c r="E558"/>
  <c r="B558"/>
  <c r="E557"/>
  <c r="B557"/>
  <c r="E556"/>
  <c r="B556"/>
  <c r="E555"/>
  <c r="B555"/>
  <c r="E554"/>
  <c r="B554"/>
  <c r="E553"/>
  <c r="B553"/>
  <c r="E552"/>
  <c r="B552"/>
  <c r="E551"/>
  <c r="B551"/>
  <c r="E550"/>
  <c r="B550"/>
  <c r="E549"/>
  <c r="B549"/>
  <c r="E548"/>
  <c r="B548"/>
  <c r="E547"/>
  <c r="B547"/>
  <c r="E546"/>
  <c r="B546"/>
  <c r="E545"/>
  <c r="B545"/>
  <c r="E544"/>
  <c r="B544"/>
  <c r="E543"/>
  <c r="B543"/>
  <c r="E542"/>
  <c r="B542"/>
  <c r="E541"/>
  <c r="B541"/>
  <c r="E540"/>
  <c r="B540"/>
  <c r="E539"/>
  <c r="B539"/>
  <c r="E538"/>
  <c r="B538"/>
  <c r="E537"/>
  <c r="B537"/>
  <c r="E536"/>
  <c r="B536"/>
  <c r="E535"/>
  <c r="B535"/>
  <c r="E534"/>
  <c r="B534"/>
  <c r="E533"/>
  <c r="B533"/>
  <c r="E532"/>
  <c r="B532"/>
  <c r="E531"/>
  <c r="B531"/>
  <c r="E530"/>
  <c r="B530"/>
  <c r="E529"/>
  <c r="B529"/>
  <c r="E528"/>
  <c r="B528"/>
  <c r="E527"/>
  <c r="B527"/>
  <c r="E526"/>
  <c r="B526"/>
  <c r="E525"/>
  <c r="B525"/>
  <c r="E524"/>
  <c r="B524"/>
  <c r="E523"/>
  <c r="B523"/>
  <c r="E522"/>
  <c r="B522"/>
  <c r="E521"/>
  <c r="B521"/>
  <c r="E520"/>
  <c r="B520"/>
  <c r="E519"/>
  <c r="B519"/>
  <c r="E518"/>
  <c r="B518"/>
  <c r="E517"/>
  <c r="B517"/>
  <c r="E516"/>
  <c r="B516"/>
  <c r="E515"/>
  <c r="B515"/>
  <c r="E514"/>
  <c r="B514"/>
  <c r="E513"/>
  <c r="B513"/>
  <c r="E512"/>
  <c r="B512"/>
  <c r="E511"/>
  <c r="B511"/>
  <c r="E510"/>
  <c r="B510"/>
  <c r="E509"/>
  <c r="B509"/>
  <c r="E508"/>
  <c r="B508"/>
  <c r="E507"/>
  <c r="B507"/>
  <c r="E506"/>
  <c r="B506"/>
  <c r="E505"/>
  <c r="B505"/>
  <c r="E504"/>
  <c r="B504"/>
  <c r="E503"/>
  <c r="B503"/>
  <c r="E502"/>
  <c r="B502"/>
  <c r="E501"/>
  <c r="B501"/>
  <c r="E500"/>
  <c r="B500"/>
  <c r="E499"/>
  <c r="B499"/>
  <c r="E498"/>
  <c r="B498"/>
  <c r="E497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<sst xmlns="http://schemas.openxmlformats.org/spreadsheetml/2006/main" count="38513" uniqueCount="2372">
  <si>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</si>
  <si>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</si>
  <si>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</si>
  <si>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</si>
  <si>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</si>
  <si>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</si>
  <si>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</si>
  <si>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</si>
  <si>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</si>
  <si>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</si>
  <si>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</si>
  <si>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</si>
  <si>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</si>
  <si>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</si>
  <si>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</si>
  <si>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</si>
  <si>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02/03/2020</t>
  </si>
  <si>
    <t>ON1</t>
  </si>
  <si>
    <t>JNX</t>
  </si>
  <si>
    <t>DUR</t>
  </si>
  <si>
    <t>DURBAN</t>
  </si>
  <si>
    <t>NR EXTREME ENGINEERI</t>
  </si>
  <si>
    <t>03/03/2020</t>
  </si>
  <si>
    <t xml:space="preserve">JENNY               </t>
  </si>
  <si>
    <t>DELIVERED</t>
  </si>
  <si>
    <t xml:space="preserve">               </t>
  </si>
  <si>
    <t>BENONI</t>
  </si>
  <si>
    <t xml:space="preserve">AVION EAST RAND PTY </t>
  </si>
  <si>
    <t xml:space="preserve">SIGN                </t>
  </si>
  <si>
    <t>KEMPTON PARK</t>
  </si>
  <si>
    <t xml:space="preserve">Festo               </t>
  </si>
  <si>
    <t xml:space="preserve">Abram               </t>
  </si>
  <si>
    <t xml:space="preserve">RE SEND PARCEL </t>
  </si>
  <si>
    <t>JOHANNESBURG</t>
  </si>
  <si>
    <t xml:space="preserve">BEARING MAN GROUP   </t>
  </si>
  <si>
    <t xml:space="preserve">kabelo              </t>
  </si>
  <si>
    <t>PLZ</t>
  </si>
  <si>
    <t>PORT ELIZABETH</t>
  </si>
  <si>
    <t>EBERSPACHER SOUTH AF</t>
  </si>
  <si>
    <t xml:space="preserve">feziwe              </t>
  </si>
  <si>
    <t>RBG</t>
  </si>
  <si>
    <t>BRITS</t>
  </si>
  <si>
    <t>BRIDGESTONE FIRESTON</t>
  </si>
  <si>
    <t xml:space="preserve">m  fourie           </t>
  </si>
  <si>
    <t>CONTROLECTRIC - GARE</t>
  </si>
  <si>
    <t xml:space="preserve">nicholas            </t>
  </si>
  <si>
    <t>ELS</t>
  </si>
  <si>
    <t>EAST LONDON</t>
  </si>
  <si>
    <t xml:space="preserve">BMG EAST LONDON     </t>
  </si>
  <si>
    <t xml:space="preserve">ASPEN NUTRITIONALS  </t>
  </si>
  <si>
    <t xml:space="preserve">n fourie            </t>
  </si>
  <si>
    <t>PINETOWN</t>
  </si>
  <si>
    <t xml:space="preserve">PNEUMATIC AID       </t>
  </si>
  <si>
    <t xml:space="preserve">audrey              </t>
  </si>
  <si>
    <t xml:space="preserve">EXCEL TOOLING       </t>
  </si>
  <si>
    <t xml:space="preserve">Gwen                </t>
  </si>
  <si>
    <t>COMPRESSED AIR EQUIP</t>
  </si>
  <si>
    <t xml:space="preserve">noma                </t>
  </si>
  <si>
    <t xml:space="preserve">CLOVER SA (PTY) LTD </t>
  </si>
  <si>
    <t xml:space="preserve">V posthumous        </t>
  </si>
  <si>
    <t>BAGTECH INTERNATIONA</t>
  </si>
  <si>
    <t xml:space="preserve">Jarrad              </t>
  </si>
  <si>
    <t>HACKMACK ENTERPRISES</t>
  </si>
  <si>
    <t xml:space="preserve">afrika              </t>
  </si>
  <si>
    <t xml:space="preserve">PAILPAC PTY LTD     </t>
  </si>
  <si>
    <t xml:space="preserve">msa                 </t>
  </si>
  <si>
    <t>PRY</t>
  </si>
  <si>
    <t>PRETORIA</t>
  </si>
  <si>
    <t>EMENEM INDUSTRIAL CC</t>
  </si>
  <si>
    <t xml:space="preserve">Jacobs              </t>
  </si>
  <si>
    <t>PZB</t>
  </si>
  <si>
    <t>PIETERMARITZBURG</t>
  </si>
  <si>
    <t>HULAMIN OPERATIONS P</t>
  </si>
  <si>
    <t xml:space="preserve">Keagan              </t>
  </si>
  <si>
    <t xml:space="preserve">METROCAS CC         </t>
  </si>
  <si>
    <t xml:space="preserve">Nic                 </t>
  </si>
  <si>
    <t xml:space="preserve">TILE MAGIC CC       </t>
  </si>
  <si>
    <t>04/03/2020</t>
  </si>
  <si>
    <t xml:space="preserve">ANTOINETTE          </t>
  </si>
  <si>
    <t xml:space="preserve">MAGNACORP 397 CC TA </t>
  </si>
  <si>
    <t>Neil</t>
  </si>
  <si>
    <t>parcels received being wet from truck collection ,due of leaking wat</t>
  </si>
  <si>
    <t xml:space="preserve">GRAVETT ENGINEERING </t>
  </si>
  <si>
    <t xml:space="preserve">Wesley              </t>
  </si>
  <si>
    <t>GUD HOLDINGS (PTY)LT</t>
  </si>
  <si>
    <t xml:space="preserve">Conraid             </t>
  </si>
  <si>
    <t>UMHLANGA ROCKS</t>
  </si>
  <si>
    <t>SA SUGAR ASSOCIATION</t>
  </si>
  <si>
    <t xml:space="preserve">ronnie              </t>
  </si>
  <si>
    <t>NATIONAL PACKAGING S</t>
  </si>
  <si>
    <t xml:space="preserve">MOSES               </t>
  </si>
  <si>
    <t xml:space="preserve">MEXAN PRODUCTS      </t>
  </si>
  <si>
    <t xml:space="preserve">MARK                </t>
  </si>
  <si>
    <t>ADCOCK INGRAM CRITIC</t>
  </si>
  <si>
    <t xml:space="preserve">mhlongo             </t>
  </si>
  <si>
    <t>STANGER</t>
  </si>
  <si>
    <t xml:space="preserve">SAPPI SA            </t>
  </si>
  <si>
    <t xml:space="preserve">d pillay            </t>
  </si>
  <si>
    <t>WINTERTIDE TRADING 6</t>
  </si>
  <si>
    <t xml:space="preserve">may                 </t>
  </si>
  <si>
    <t>CPT</t>
  </si>
  <si>
    <t>CAPE TOWN</t>
  </si>
  <si>
    <t>LEDA ENGINEERING SER</t>
  </si>
  <si>
    <t xml:space="preserve">Tess                </t>
  </si>
  <si>
    <t xml:space="preserve">UNILEVER SA PTY LTD </t>
  </si>
  <si>
    <t xml:space="preserve">nikesh              </t>
  </si>
  <si>
    <t xml:space="preserve">ILLOVO SUGAR        </t>
  </si>
  <si>
    <t xml:space="preserve">basil               </t>
  </si>
  <si>
    <t>FELTEX AUTOMOTIVE TR</t>
  </si>
  <si>
    <t xml:space="preserve">mateo               </t>
  </si>
  <si>
    <t xml:space="preserve">2170730587 1   </t>
  </si>
  <si>
    <t>ROBOTIC HANDLING SYS</t>
  </si>
  <si>
    <t xml:space="preserve">Tony                </t>
  </si>
  <si>
    <t>S4 INTEGRATION (PTY)</t>
  </si>
  <si>
    <t xml:space="preserve">ayAnda              </t>
  </si>
  <si>
    <t xml:space="preserve">DURR SOUTH AFRICA   </t>
  </si>
  <si>
    <t xml:space="preserve">yashiem             </t>
  </si>
  <si>
    <t>PAARL</t>
  </si>
  <si>
    <t xml:space="preserve">HYDRAQUIP           </t>
  </si>
  <si>
    <t xml:space="preserve">Leoni               </t>
  </si>
  <si>
    <t>ALBANY BAKERIES A DI</t>
  </si>
  <si>
    <t xml:space="preserve">Angelique           </t>
  </si>
  <si>
    <t>ATLANTIS</t>
  </si>
  <si>
    <t xml:space="preserve">ATLANTIS FOUNDRY    </t>
  </si>
  <si>
    <t xml:space="preserve">W H Victor          </t>
  </si>
  <si>
    <t xml:space="preserve">BMG BELLVILLE 0120  </t>
  </si>
  <si>
    <t xml:space="preserve">Romano              </t>
  </si>
  <si>
    <t>CONSOL GLASS (PTY) L</t>
  </si>
  <si>
    <t xml:space="preserve">Linda               </t>
  </si>
  <si>
    <t>POLYOAK PACKAGING (P</t>
  </si>
  <si>
    <t xml:space="preserve">evette              </t>
  </si>
  <si>
    <t>VICTORY ELECTRICAL C</t>
  </si>
  <si>
    <t xml:space="preserve">Saul                </t>
  </si>
  <si>
    <t>PHARMACARE LTD T A A</t>
  </si>
  <si>
    <t xml:space="preserve">shylon              </t>
  </si>
  <si>
    <t>FOXTEC-IKHWEZI PTY L</t>
  </si>
  <si>
    <t xml:space="preserve">Tanya               </t>
  </si>
  <si>
    <t>ACEPAK PACKAGING SYS</t>
  </si>
  <si>
    <t>FOODCORP PTY LTD MIL</t>
  </si>
  <si>
    <t xml:space="preserve">Dannie              </t>
  </si>
  <si>
    <t xml:space="preserve">CSM ENGINEERING CC  </t>
  </si>
  <si>
    <t xml:space="preserve">Marco               </t>
  </si>
  <si>
    <t>SP AUTOMOTIVE PROFIL</t>
  </si>
  <si>
    <t xml:space="preserve">lefaa               </t>
  </si>
  <si>
    <t>STELLENBOSCH</t>
  </si>
  <si>
    <t xml:space="preserve">TF DESIGN (PTY) LTD </t>
  </si>
  <si>
    <t xml:space="preserve">niki                </t>
  </si>
  <si>
    <t>VEOLIA WATER SOLUTIO</t>
  </si>
  <si>
    <t xml:space="preserve">Nditsheni           </t>
  </si>
  <si>
    <t xml:space="preserve">RG BROSE AUTOMOTIVE </t>
  </si>
  <si>
    <t xml:space="preserve">Jason               </t>
  </si>
  <si>
    <t>GERMISTON</t>
  </si>
  <si>
    <t xml:space="preserve">AVENG TRIDENT STEEL </t>
  </si>
  <si>
    <t xml:space="preserve">ivy                 </t>
  </si>
  <si>
    <t xml:space="preserve">Adriaan             </t>
  </si>
  <si>
    <t>SOMERSET WEST</t>
  </si>
  <si>
    <t>MKH CONCEPT ENGINEER</t>
  </si>
  <si>
    <t xml:space="preserve">Meshack             </t>
  </si>
  <si>
    <t>BRONKHORSTSPRUIT</t>
  </si>
  <si>
    <t>SASOL DYNO NOBEL PTY</t>
  </si>
  <si>
    <t xml:space="preserve">James               </t>
  </si>
  <si>
    <t xml:space="preserve">MERCEDES BENZ SOUTH </t>
  </si>
  <si>
    <t xml:space="preserve">Sandisile           </t>
  </si>
  <si>
    <t>HEIDELBERG (TVL)</t>
  </si>
  <si>
    <t>BRITISH AMERICAN TOB</t>
  </si>
  <si>
    <t xml:space="preserve">bongs               </t>
  </si>
  <si>
    <t>CSM BEARING AND PNEU</t>
  </si>
  <si>
    <t xml:space="preserve">Carlize             </t>
  </si>
  <si>
    <t>RANDBURG</t>
  </si>
  <si>
    <t>ACCUTECH WEIGHING SE</t>
  </si>
  <si>
    <t xml:space="preserve">sanna               </t>
  </si>
  <si>
    <t>BOKSBURG</t>
  </si>
  <si>
    <t>AM SYSTEMS INTEGRATI</t>
  </si>
  <si>
    <t xml:space="preserve">SOCCHIN             </t>
  </si>
  <si>
    <t>UITENHAGE</t>
  </si>
  <si>
    <t xml:space="preserve">BENTELER AUTOMOTIVE </t>
  </si>
  <si>
    <t xml:space="preserve">beloana             </t>
  </si>
  <si>
    <t>HAMMANSKRAAL</t>
  </si>
  <si>
    <t>UNIVERSAL PAPER   PL</t>
  </si>
  <si>
    <t xml:space="preserve">ntombi              </t>
  </si>
  <si>
    <t>SPRINGS</t>
  </si>
  <si>
    <t xml:space="preserve">BEVCAN              </t>
  </si>
  <si>
    <t xml:space="preserve">SIGNATURE           </t>
  </si>
  <si>
    <t xml:space="preserve">2170729666 1   </t>
  </si>
  <si>
    <t>BALFOUR (TVL)</t>
  </si>
  <si>
    <t>KARAN BEEF (PTY) LTD</t>
  </si>
  <si>
    <t xml:space="preserve">MPUMELELO           </t>
  </si>
  <si>
    <t>JENDAMARK AUTOMATION</t>
  </si>
  <si>
    <t xml:space="preserve">Shaakir             </t>
  </si>
  <si>
    <t>IMP AUTOMATED LABORA</t>
  </si>
  <si>
    <t xml:space="preserve">IRENE               </t>
  </si>
  <si>
    <t xml:space="preserve">Sgaakir             </t>
  </si>
  <si>
    <t>LITTLE GREEN BEVERAG</t>
  </si>
  <si>
    <t xml:space="preserve">Bianca              </t>
  </si>
  <si>
    <t>CULINARY A DIV OF TI</t>
  </si>
  <si>
    <t>WASSERTEC OZONE SYST</t>
  </si>
  <si>
    <t xml:space="preserve">martin              </t>
  </si>
  <si>
    <t>RAPID INDUSTRIAL SUP</t>
  </si>
  <si>
    <t xml:space="preserve">nita                </t>
  </si>
  <si>
    <t xml:space="preserve">HARVARD PROJECTS    </t>
  </si>
  <si>
    <t xml:space="preserve">ILLEG               </t>
  </si>
  <si>
    <t xml:space="preserve">jame                </t>
  </si>
  <si>
    <t>PROTSURV INTERNATION</t>
  </si>
  <si>
    <t xml:space="preserve">Grace               </t>
  </si>
  <si>
    <t>SIQALO FOODS (PTY)LT</t>
  </si>
  <si>
    <t xml:space="preserve">NANDIPHA            </t>
  </si>
  <si>
    <t>SASOLBURG</t>
  </si>
  <si>
    <t>COREL INSTRUMENTATIO</t>
  </si>
  <si>
    <t xml:space="preserve">SIGNED              </t>
  </si>
  <si>
    <t>SMITHS MANUFACTURING</t>
  </si>
  <si>
    <t xml:space="preserve">brian               </t>
  </si>
  <si>
    <t xml:space="preserve">james               </t>
  </si>
  <si>
    <t>SPRINGS BEE GEE ELEC</t>
  </si>
  <si>
    <t xml:space="preserve">D wators            </t>
  </si>
  <si>
    <t>DBC</t>
  </si>
  <si>
    <t>PTG</t>
  </si>
  <si>
    <t>POTGIETERSRUS</t>
  </si>
  <si>
    <t>MATLHABA WA ITHABELA</t>
  </si>
  <si>
    <t xml:space="preserve">mathlaba            </t>
  </si>
  <si>
    <t>CAPE OF GOOD HOPE SN</t>
  </si>
  <si>
    <t xml:space="preserve">HALIMA              </t>
  </si>
  <si>
    <t xml:space="preserve">KATLEGO             </t>
  </si>
  <si>
    <t>RANDFONTEIN</t>
  </si>
  <si>
    <t>TIGER CONSUMER BRAND</t>
  </si>
  <si>
    <t xml:space="preserve">stoltz              </t>
  </si>
  <si>
    <t>INNOVATIVE WATER CAR</t>
  </si>
  <si>
    <t xml:space="preserve">Sizwe               </t>
  </si>
  <si>
    <t xml:space="preserve">SUNBAKE BENONI      </t>
  </si>
  <si>
    <t xml:space="preserve">JANUARY             </t>
  </si>
  <si>
    <t>POLYOAK PACKAGING PT</t>
  </si>
  <si>
    <t xml:space="preserve">beytel              </t>
  </si>
  <si>
    <t>MODULAR MASTS   TOWE</t>
  </si>
  <si>
    <t xml:space="preserve">DAVID               </t>
  </si>
  <si>
    <t>TI AUTOMOTIVE FUEL S</t>
  </si>
  <si>
    <t xml:space="preserve">Jaco                </t>
  </si>
  <si>
    <t xml:space="preserve">neli                </t>
  </si>
  <si>
    <t>JACOBS</t>
  </si>
  <si>
    <t xml:space="preserve">TIGER BRANDS        </t>
  </si>
  <si>
    <t xml:space="preserve">Awena               </t>
  </si>
  <si>
    <t xml:space="preserve">TI GROUP AUTOMOTIVE </t>
  </si>
  <si>
    <t xml:space="preserve">xolisa              </t>
  </si>
  <si>
    <t>YANFENG SA AUTOMOTIV</t>
  </si>
  <si>
    <t xml:space="preserve">Vannessa            </t>
  </si>
  <si>
    <t xml:space="preserve">TRUDA SNACKS        </t>
  </si>
  <si>
    <t xml:space="preserve">Chieoza             </t>
  </si>
  <si>
    <t xml:space="preserve">SHORT SUPPLIED </t>
  </si>
  <si>
    <t>INTEGRADED CONVOY PR</t>
  </si>
  <si>
    <t xml:space="preserve">Thabo               </t>
  </si>
  <si>
    <t>EGLI PRECISION ENGEN</t>
  </si>
  <si>
    <t xml:space="preserve">Vukile              </t>
  </si>
  <si>
    <t>PROGETTO INTERNATION</t>
  </si>
  <si>
    <t xml:space="preserve">Nico                </t>
  </si>
  <si>
    <t>DIYA VALVES INTERNAT</t>
  </si>
  <si>
    <t xml:space="preserve">m naidoo            </t>
  </si>
  <si>
    <t xml:space="preserve">lance               </t>
  </si>
  <si>
    <t xml:space="preserve">CONTROL IT          </t>
  </si>
  <si>
    <t xml:space="preserve">Paul                </t>
  </si>
  <si>
    <t xml:space="preserve">AMS BEARING CC      </t>
  </si>
  <si>
    <t xml:space="preserve">mandla              </t>
  </si>
  <si>
    <t xml:space="preserve">baij                </t>
  </si>
  <si>
    <t xml:space="preserve">CONTINENTAL TYRE SA </t>
  </si>
  <si>
    <t xml:space="preserve">richard             </t>
  </si>
  <si>
    <t>WORCESTER</t>
  </si>
  <si>
    <t xml:space="preserve">GRW ENGINERING      </t>
  </si>
  <si>
    <t>G R W ENGINEERING PT</t>
  </si>
  <si>
    <t xml:space="preserve">HYDROMATIC          </t>
  </si>
  <si>
    <t xml:space="preserve">Kyle                </t>
  </si>
  <si>
    <t xml:space="preserve">PREMIER FMCG        </t>
  </si>
  <si>
    <t xml:space="preserve">illeg               </t>
  </si>
  <si>
    <t xml:space="preserve">CONVEYALL NATAL CC  </t>
  </si>
  <si>
    <t xml:space="preserve">BME PACKAGING CC    </t>
  </si>
  <si>
    <t xml:space="preserve">Sarah               </t>
  </si>
  <si>
    <t xml:space="preserve">Reggie              </t>
  </si>
  <si>
    <t>FILTEC AUTOMATION PT</t>
  </si>
  <si>
    <t xml:space="preserve">lewlyb              </t>
  </si>
  <si>
    <t>DNH MANUFACTURING (P</t>
  </si>
  <si>
    <t xml:space="preserve">morne               </t>
  </si>
  <si>
    <t>ISIPINGO</t>
  </si>
  <si>
    <t>THE SOUTH AFRICAN BR</t>
  </si>
  <si>
    <t xml:space="preserve">Vishnu              </t>
  </si>
  <si>
    <t>EAST COAST INSTRUMEN</t>
  </si>
  <si>
    <t xml:space="preserve">PALLINE             </t>
  </si>
  <si>
    <t>TRANSVAAL HYDRAULICS</t>
  </si>
  <si>
    <t xml:space="preserve">corrie              </t>
  </si>
  <si>
    <t>DE BEERS GROUP SERVI</t>
  </si>
  <si>
    <t>H.G MOLENAAR (PTY) L</t>
  </si>
  <si>
    <t xml:space="preserve">Werner              </t>
  </si>
  <si>
    <t xml:space="preserve">PROMAX              </t>
  </si>
  <si>
    <t xml:space="preserve">Yvonne              </t>
  </si>
  <si>
    <t>S.A. LITHO PRINTINGS</t>
  </si>
  <si>
    <t xml:space="preserve">A Walters           </t>
  </si>
  <si>
    <t>VEREENIGING</t>
  </si>
  <si>
    <t>TILODI ENGINEERING (</t>
  </si>
  <si>
    <t xml:space="preserve">Theo Fouri          </t>
  </si>
  <si>
    <t xml:space="preserve">ABI DIV OF SAB LTD  </t>
  </si>
  <si>
    <t xml:space="preserve">malcolm             </t>
  </si>
  <si>
    <t>FAIR CAPE DAIRIES (P</t>
  </si>
  <si>
    <t xml:space="preserve">Dilan               </t>
  </si>
  <si>
    <t xml:space="preserve">MAVTECH             </t>
  </si>
  <si>
    <t xml:space="preserve">Neo                 </t>
  </si>
  <si>
    <t>LEONARD DIGLER (PTY)</t>
  </si>
  <si>
    <t xml:space="preserve">JOSEPH              </t>
  </si>
  <si>
    <t xml:space="preserve">KRONES SA PTY LTD   </t>
  </si>
  <si>
    <t xml:space="preserve">thulebona           </t>
  </si>
  <si>
    <t xml:space="preserve">narie               </t>
  </si>
  <si>
    <t>BEARING MAN GROUP (P</t>
  </si>
  <si>
    <t xml:space="preserve">Ashton              </t>
  </si>
  <si>
    <t xml:space="preserve">AEL MINING SERVICES </t>
  </si>
  <si>
    <t xml:space="preserve">francina            </t>
  </si>
  <si>
    <t>ALBERTON</t>
  </si>
  <si>
    <t xml:space="preserve">MCEDISI             </t>
  </si>
  <si>
    <t xml:space="preserve">REGRADE MASTERS     </t>
  </si>
  <si>
    <t xml:space="preserve">YOLANDA             </t>
  </si>
  <si>
    <t>MIDRAND</t>
  </si>
  <si>
    <t>FAMOUS BRANDS MANAGE</t>
  </si>
  <si>
    <t xml:space="preserve">Rachel              </t>
  </si>
  <si>
    <t xml:space="preserve">Vuyo                </t>
  </si>
  <si>
    <t xml:space="preserve">OIL            </t>
  </si>
  <si>
    <t>FOXOLUTION SYSTEMS E</t>
  </si>
  <si>
    <t xml:space="preserve">ROSHNI              </t>
  </si>
  <si>
    <t>SUPERB INDUSTRIAL SU</t>
  </si>
  <si>
    <t>Returned to sender o</t>
  </si>
  <si>
    <t>COCA COLA  BEVERANGE</t>
  </si>
  <si>
    <t xml:space="preserve">Mpho                </t>
  </si>
  <si>
    <t xml:space="preserve">sello               </t>
  </si>
  <si>
    <t xml:space="preserve">ALBANY BAKERIES     </t>
  </si>
  <si>
    <t xml:space="preserve">SARAH               </t>
  </si>
  <si>
    <t>PRO PROJECT MACHINER</t>
  </si>
  <si>
    <t xml:space="preserve">Roland              </t>
  </si>
  <si>
    <t xml:space="preserve">Ruen                </t>
  </si>
  <si>
    <t>DESPATCH</t>
  </si>
  <si>
    <t xml:space="preserve">DKT   PARTNERS      </t>
  </si>
  <si>
    <t xml:space="preserve">helen               </t>
  </si>
  <si>
    <t xml:space="preserve">INDECON CC          </t>
  </si>
  <si>
    <t xml:space="preserve">A NEL               </t>
  </si>
  <si>
    <t>FILMATIC PACKAGING S</t>
  </si>
  <si>
    <t xml:space="preserve">Gary                </t>
  </si>
  <si>
    <t>AVIZ LABORATORIES CC</t>
  </si>
  <si>
    <t>ROODEPOORT</t>
  </si>
  <si>
    <t xml:space="preserve">12Sideal            </t>
  </si>
  <si>
    <t xml:space="preserve">nikita              </t>
  </si>
  <si>
    <t>KRUGERSDORP</t>
  </si>
  <si>
    <t xml:space="preserve">AUTOLIV SA          </t>
  </si>
  <si>
    <t xml:space="preserve">ALICIA              </t>
  </si>
  <si>
    <t xml:space="preserve">sbongiseni          </t>
  </si>
  <si>
    <t xml:space="preserve">RCL FOODS CONSUMER  </t>
  </si>
  <si>
    <t xml:space="preserve">maria               </t>
  </si>
  <si>
    <t xml:space="preserve">SCUA CC             </t>
  </si>
  <si>
    <t xml:space="preserve">emilia              </t>
  </si>
  <si>
    <t xml:space="preserve">VOLKSWAGEN OF SA    </t>
  </si>
  <si>
    <t xml:space="preserve">Rochelle            </t>
  </si>
  <si>
    <t>SMA ENGINEERING S.A.</t>
  </si>
  <si>
    <t xml:space="preserve">raymond             </t>
  </si>
  <si>
    <t>ELUMATEC SOUTH AFRIC</t>
  </si>
  <si>
    <t xml:space="preserve">petru               </t>
  </si>
  <si>
    <t xml:space="preserve">RESEND PARCEL  </t>
  </si>
  <si>
    <t>CTP WEB PRINTERS JOH</t>
  </si>
  <si>
    <t xml:space="preserve">SAUL                </t>
  </si>
  <si>
    <t>TONGAAT HULLETTS GRO</t>
  </si>
  <si>
    <t xml:space="preserve">thabani             </t>
  </si>
  <si>
    <t xml:space="preserve">NEOPAK              </t>
  </si>
  <si>
    <t xml:space="preserve">Tesy                </t>
  </si>
  <si>
    <t>C M G ENGINEERING SU</t>
  </si>
  <si>
    <t>09/03/2020</t>
  </si>
  <si>
    <t xml:space="preserve"> vishal</t>
  </si>
  <si>
    <t xml:space="preserve"> CLIENT MOVED</t>
  </si>
  <si>
    <t>NNN</t>
  </si>
  <si>
    <t xml:space="preserve">SABRIX PTY LTD      </t>
  </si>
  <si>
    <t>DALEIN AGRI PLAN PTY</t>
  </si>
  <si>
    <t>REEF CONSTRUCTION MA</t>
  </si>
  <si>
    <t xml:space="preserve">alida               </t>
  </si>
  <si>
    <t xml:space="preserve">Cecilia             </t>
  </si>
  <si>
    <t>LYNDON</t>
  </si>
  <si>
    <t>3rd party to deliver</t>
  </si>
  <si>
    <t xml:space="preserve"> LYNDON</t>
  </si>
  <si>
    <t>TENNECO RIDE CONTROL</t>
  </si>
  <si>
    <t xml:space="preserve">lifa                </t>
  </si>
  <si>
    <t xml:space="preserve">nomzi               </t>
  </si>
  <si>
    <t xml:space="preserve">DISTELL (PTY) LTD   </t>
  </si>
  <si>
    <t xml:space="preserve">eric                </t>
  </si>
  <si>
    <t>SANDTON</t>
  </si>
  <si>
    <t xml:space="preserve">Lucas               </t>
  </si>
  <si>
    <t xml:space="preserve">mhlango             </t>
  </si>
  <si>
    <t xml:space="preserve">ayanda              </t>
  </si>
  <si>
    <t>MA CONSUME   MAITENA</t>
  </si>
  <si>
    <t xml:space="preserve">Herman              </t>
  </si>
  <si>
    <t>PNR TRANSPORT   WARE</t>
  </si>
  <si>
    <t xml:space="preserve">Steven              </t>
  </si>
  <si>
    <t>TOPLINE TOOLING (PTY</t>
  </si>
  <si>
    <t xml:space="preserve">maxwell             </t>
  </si>
  <si>
    <t>FIRST NATIONAL BATTE</t>
  </si>
  <si>
    <t xml:space="preserve">Buoile              </t>
  </si>
  <si>
    <t>RCL FOODS CONSUMER (</t>
  </si>
  <si>
    <t xml:space="preserve">Nqoba               </t>
  </si>
  <si>
    <t xml:space="preserve">niren               </t>
  </si>
  <si>
    <t>DIVFOOD A DIV OF NAM</t>
  </si>
  <si>
    <t xml:space="preserve">zama                </t>
  </si>
  <si>
    <t>LAFARGE INDUSTRIES S</t>
  </si>
  <si>
    <t xml:space="preserve">REKGOLISETSWE       </t>
  </si>
  <si>
    <t xml:space="preserve">SASOL CHEMICALS SA  </t>
  </si>
  <si>
    <t xml:space="preserve">BONGANI             </t>
  </si>
  <si>
    <t xml:space="preserve">PFERD SA PTY LTD    </t>
  </si>
  <si>
    <t xml:space="preserve">Zakhele             </t>
  </si>
  <si>
    <t>FIRST QUANTUM MINERA</t>
  </si>
  <si>
    <t xml:space="preserve">Sandy               </t>
  </si>
  <si>
    <t xml:space="preserve">KELLOGGS CO OF SA   </t>
  </si>
  <si>
    <t xml:space="preserve">Isaac               </t>
  </si>
  <si>
    <t xml:space="preserve">JOHNSON MATTHEY PTY </t>
  </si>
  <si>
    <t xml:space="preserve">ggeorgina           </t>
  </si>
  <si>
    <t>RCL FOODS CONSUMER P</t>
  </si>
  <si>
    <t>05/03/2020</t>
  </si>
  <si>
    <t>RCL FODS CONSUMER PT</t>
  </si>
  <si>
    <t xml:space="preserve">GOODMAN             </t>
  </si>
  <si>
    <t>QUALITEC ENGINEERING</t>
  </si>
  <si>
    <t xml:space="preserve">holloway            </t>
  </si>
  <si>
    <t>ADLAM ENGINEERING PT</t>
  </si>
  <si>
    <t xml:space="preserve">JABU                </t>
  </si>
  <si>
    <t xml:space="preserve">BLENDCOR (PTY) LTD  </t>
  </si>
  <si>
    <t xml:space="preserve">bheki               </t>
  </si>
  <si>
    <t xml:space="preserve">G LUNDALL           </t>
  </si>
  <si>
    <t xml:space="preserve">MONDI LIMITED       </t>
  </si>
  <si>
    <t xml:space="preserve">Nelson              </t>
  </si>
  <si>
    <t xml:space="preserve">CLIFFORD MACHINES   </t>
  </si>
  <si>
    <t xml:space="preserve">jabulan             </t>
  </si>
  <si>
    <t xml:space="preserve">ZF LEMFOERDER SA    </t>
  </si>
  <si>
    <t xml:space="preserve">Pieter              </t>
  </si>
  <si>
    <t xml:space="preserve">carl                </t>
  </si>
  <si>
    <t xml:space="preserve">UNILIVER SA         </t>
  </si>
  <si>
    <t xml:space="preserve">mubuso              </t>
  </si>
  <si>
    <t>MAHLE BEHR SOUTH AFR</t>
  </si>
  <si>
    <t xml:space="preserve">ansile              </t>
  </si>
  <si>
    <t>RUSTENBURG</t>
  </si>
  <si>
    <t xml:space="preserve">CONTROL SYSTEMS     </t>
  </si>
  <si>
    <t xml:space="preserve">opperman            </t>
  </si>
  <si>
    <t xml:space="preserve">AUTO X PTY LTD      </t>
  </si>
  <si>
    <t xml:space="preserve">sediadia            </t>
  </si>
  <si>
    <t xml:space="preserve">GRUNDFOS            </t>
  </si>
  <si>
    <t xml:space="preserve">THOKOZANI           </t>
  </si>
  <si>
    <t>ISUZU MOTORS S.A (PT</t>
  </si>
  <si>
    <t xml:space="preserve">brendan             </t>
  </si>
  <si>
    <t xml:space="preserve">Cassim              </t>
  </si>
  <si>
    <t>RAINBOW FARMS PTY LT</t>
  </si>
  <si>
    <t xml:space="preserve">Thabiso             </t>
  </si>
  <si>
    <t>ILLEG</t>
  </si>
  <si>
    <t xml:space="preserve">b emma              </t>
  </si>
  <si>
    <t>VERULAM</t>
  </si>
  <si>
    <t>TONGAAT HULETTS GROU</t>
  </si>
  <si>
    <t xml:space="preserve">          </t>
  </si>
  <si>
    <t xml:space="preserve">                    </t>
  </si>
  <si>
    <t>CLIENT REFUSED DELIVERY</t>
  </si>
  <si>
    <t>DRIVER MUST DO AN INSPECTION AND DOCTOR'S CHECK UP BEFORE ATTEMPTING</t>
  </si>
  <si>
    <t>GOODYEAR SOUTH AFRIC</t>
  </si>
  <si>
    <t xml:space="preserve">Austin              </t>
  </si>
  <si>
    <t>VANDERBIJLPARK</t>
  </si>
  <si>
    <t>CONSOLIDATED WIRE IN</t>
  </si>
  <si>
    <t xml:space="preserve">Jimmy               </t>
  </si>
  <si>
    <t xml:space="preserve">CLOVER SA           </t>
  </si>
  <si>
    <t xml:space="preserve">hd vasagie          </t>
  </si>
  <si>
    <t>BBF SAFETY GROUP PTY</t>
  </si>
  <si>
    <t>0017063719 G.U.D Hol</t>
  </si>
  <si>
    <t xml:space="preserve">amitha              </t>
  </si>
  <si>
    <t xml:space="preserve">SIPHO               </t>
  </si>
  <si>
    <t>009935712357</t>
  </si>
  <si>
    <t>PATRICK</t>
  </si>
  <si>
    <t>INCORRECTLY SUP</t>
  </si>
  <si>
    <t xml:space="preserve">NATIONAL BRANDS LTD </t>
  </si>
  <si>
    <t xml:space="preserve">Joseph              </t>
  </si>
  <si>
    <t>EIGER ENGENEERING (P</t>
  </si>
  <si>
    <t xml:space="preserve">payne               </t>
  </si>
  <si>
    <t>MITAS CORPORATION (P</t>
  </si>
  <si>
    <t xml:space="preserve">Lawrence            </t>
  </si>
  <si>
    <t>COLUMBIT PTY  T A IN</t>
  </si>
  <si>
    <t xml:space="preserve">simon               </t>
  </si>
  <si>
    <t>CBI ELECTRIC AFRICAN</t>
  </si>
  <si>
    <t xml:space="preserve">Lloyd               </t>
  </si>
  <si>
    <t>UNIVERSAL AUTOMATION</t>
  </si>
  <si>
    <t xml:space="preserve">P VENTER            </t>
  </si>
  <si>
    <t>COLGATE PALMOLIVE LT</t>
  </si>
  <si>
    <t xml:space="preserve">JOSHUA              </t>
  </si>
  <si>
    <t>BULKMATIC SOLIDS MAC</t>
  </si>
  <si>
    <t xml:space="preserve">mehluli             </t>
  </si>
  <si>
    <t>ZF LEMFORDER SA (PTY</t>
  </si>
  <si>
    <t xml:space="preserve">Frachelle           </t>
  </si>
  <si>
    <t xml:space="preserve">MSG SYSTEMS         </t>
  </si>
  <si>
    <t xml:space="preserve">yomakela            </t>
  </si>
  <si>
    <t xml:space="preserve">MARCOM PLASTICS CC  </t>
  </si>
  <si>
    <t xml:space="preserve">Thulani             </t>
  </si>
  <si>
    <t xml:space="preserve">ILLOVO SUGAR LTD    </t>
  </si>
  <si>
    <t xml:space="preserve">signed              </t>
  </si>
  <si>
    <t xml:space="preserve">GOSSAMER STRUCTURES </t>
  </si>
  <si>
    <t xml:space="preserve">Janine              </t>
  </si>
  <si>
    <t>BOWLER PLASTICS (PTY</t>
  </si>
  <si>
    <t xml:space="preserve">l lekay             </t>
  </si>
  <si>
    <t xml:space="preserve">CONSOL GLASS        </t>
  </si>
  <si>
    <t xml:space="preserve">william             </t>
  </si>
  <si>
    <t xml:space="preserve">FOODCORP PTY LTD    </t>
  </si>
  <si>
    <t xml:space="preserve">Hanneley            </t>
  </si>
  <si>
    <t xml:space="preserve">NESTLE SOUTH AFRICA </t>
  </si>
  <si>
    <t xml:space="preserve">terry               </t>
  </si>
  <si>
    <t xml:space="preserve">kruge               </t>
  </si>
  <si>
    <t xml:space="preserve">DIRECTECH           </t>
  </si>
  <si>
    <t xml:space="preserve">sillas              </t>
  </si>
  <si>
    <t xml:space="preserve">Nicolette           </t>
  </si>
  <si>
    <t>VARELEC DISTRIBUTORS</t>
  </si>
  <si>
    <t xml:space="preserve">Desigan             </t>
  </si>
  <si>
    <t>SHATTERPRUFE TRADING</t>
  </si>
  <si>
    <t xml:space="preserve">Thabang             </t>
  </si>
  <si>
    <t>HOWICK</t>
  </si>
  <si>
    <t>DUNLOP INDUSTRIAL PR</t>
  </si>
  <si>
    <t xml:space="preserve">chelsey             </t>
  </si>
  <si>
    <t>NATIONAL BRANDS BUSC</t>
  </si>
  <si>
    <t xml:space="preserve">PROSPECK            </t>
  </si>
  <si>
    <t>REPMA ENGINEERING PT</t>
  </si>
  <si>
    <t xml:space="preserve">christopher         </t>
  </si>
  <si>
    <t xml:space="preserve">Charles             </t>
  </si>
  <si>
    <t xml:space="preserve">LIQUI BOX (PTY)LTD  </t>
  </si>
  <si>
    <t xml:space="preserve">zeenat              </t>
  </si>
  <si>
    <t xml:space="preserve">ZF ACTIVE   PASSIVE </t>
  </si>
  <si>
    <t xml:space="preserve">LIESTER             </t>
  </si>
  <si>
    <t xml:space="preserve">TSHEPO              </t>
  </si>
  <si>
    <t xml:space="preserve">Dimakatso           </t>
  </si>
  <si>
    <t xml:space="preserve">MIHO                </t>
  </si>
  <si>
    <t xml:space="preserve">CAPITAL MAITANACE   </t>
  </si>
  <si>
    <t xml:space="preserve">SIMON               </t>
  </si>
  <si>
    <t xml:space="preserve">m fawse             </t>
  </si>
  <si>
    <t>BRAKPAN</t>
  </si>
  <si>
    <t xml:space="preserve">ERGO MINING         </t>
  </si>
  <si>
    <t xml:space="preserve">ROB                 </t>
  </si>
  <si>
    <t>RD</t>
  </si>
  <si>
    <t xml:space="preserve">FESTO               </t>
  </si>
  <si>
    <t>BAKKER</t>
  </si>
  <si>
    <t xml:space="preserve">Cheoza              </t>
  </si>
  <si>
    <t xml:space="preserve">TOYOTA              </t>
  </si>
  <si>
    <t xml:space="preserve">Mzih                </t>
  </si>
  <si>
    <t>BEH</t>
  </si>
  <si>
    <t>BETHLEHEM</t>
  </si>
  <si>
    <t xml:space="preserve">BUILD IT BETLHEHEM  </t>
  </si>
  <si>
    <t>GRJ</t>
  </si>
  <si>
    <t>GEORGE</t>
  </si>
  <si>
    <t xml:space="preserve">THESENS SAWMILLING  </t>
  </si>
  <si>
    <t xml:space="preserve">MAXWELL             </t>
  </si>
  <si>
    <t xml:space="preserve">MARLEY SA PTY LTD   </t>
  </si>
  <si>
    <t xml:space="preserve">Simon               </t>
  </si>
  <si>
    <t xml:space="preserve">COCA COLA BEVERAGES </t>
  </si>
  <si>
    <t>SOUTHERN PULP MACHIN</t>
  </si>
  <si>
    <t xml:space="preserve">Bronwon             </t>
  </si>
  <si>
    <t>BALLENA TRADING 31 P</t>
  </si>
  <si>
    <t xml:space="preserve">gremmah             </t>
  </si>
  <si>
    <t xml:space="preserve">jannie              </t>
  </si>
  <si>
    <t xml:space="preserve">TOYOTA SA MOTORS    </t>
  </si>
  <si>
    <t xml:space="preserve">R mumsum            </t>
  </si>
  <si>
    <t>UNIVERSITY OF PRETOR</t>
  </si>
  <si>
    <t xml:space="preserve">lombard             </t>
  </si>
  <si>
    <t xml:space="preserve">lewwlyn             </t>
  </si>
  <si>
    <t>GRIPPER   CO (PTY) L</t>
  </si>
  <si>
    <t xml:space="preserve">sharief             </t>
  </si>
  <si>
    <t>CIRCUIT BREAKER INDU</t>
  </si>
  <si>
    <t xml:space="preserve">respect             </t>
  </si>
  <si>
    <t xml:space="preserve">Rashaad             </t>
  </si>
  <si>
    <t>AMROD MAINSTEET 1477</t>
  </si>
  <si>
    <t xml:space="preserve">Lindsay             </t>
  </si>
  <si>
    <t xml:space="preserve">UV + IR ENGINEERING </t>
  </si>
  <si>
    <t xml:space="preserve">dewald              </t>
  </si>
  <si>
    <t xml:space="preserve">DETNET SA           </t>
  </si>
  <si>
    <t xml:space="preserve">beanca              </t>
  </si>
  <si>
    <t xml:space="preserve">STOLTZ              </t>
  </si>
  <si>
    <t>HP HOSE   FITTING SP</t>
  </si>
  <si>
    <t xml:space="preserve">Kimona              </t>
  </si>
  <si>
    <t>AUTO INDUSTRIAL MACH</t>
  </si>
  <si>
    <t xml:space="preserve">L Wille             </t>
  </si>
  <si>
    <t xml:space="preserve">NUKOR (PTY)LTD      </t>
  </si>
  <si>
    <t xml:space="preserve">BRANDIN             </t>
  </si>
  <si>
    <t>L OREAL MANUFACTURIN</t>
  </si>
  <si>
    <t xml:space="preserve">sam                 </t>
  </si>
  <si>
    <t xml:space="preserve">UTI JET PARK        </t>
  </si>
  <si>
    <t xml:space="preserve">lamton              </t>
  </si>
  <si>
    <t xml:space="preserve">PIONEER FOODS (PTY) </t>
  </si>
  <si>
    <t xml:space="preserve">zungu               </t>
  </si>
  <si>
    <t xml:space="preserve">BMW ROSSLYN         </t>
  </si>
  <si>
    <t xml:space="preserve">Ndivhuwo            </t>
  </si>
  <si>
    <t>DELMAS</t>
  </si>
  <si>
    <t xml:space="preserve">FLSMIDTH (PTY) LTD  </t>
  </si>
  <si>
    <t xml:space="preserve">CORRIE              </t>
  </si>
  <si>
    <t>HEINEKEN SOUTH AFRIC</t>
  </si>
  <si>
    <t xml:space="preserve">ANNA                </t>
  </si>
  <si>
    <t xml:space="preserve">CLURE PROJECTS CC   </t>
  </si>
  <si>
    <t xml:space="preserve">shane               </t>
  </si>
  <si>
    <t xml:space="preserve">mgedu               </t>
  </si>
  <si>
    <t xml:space="preserve">yamkela             </t>
  </si>
  <si>
    <t xml:space="preserve">walter              </t>
  </si>
  <si>
    <t xml:space="preserve">BADER SA PTY LTD    </t>
  </si>
  <si>
    <t xml:space="preserve">Stephen             </t>
  </si>
  <si>
    <t>NIC</t>
  </si>
  <si>
    <t xml:space="preserve">COCA - COLA FORTUNE </t>
  </si>
  <si>
    <t xml:space="preserve">Asemahle            </t>
  </si>
  <si>
    <t xml:space="preserve">L wille             </t>
  </si>
  <si>
    <t>HARRISMITH</t>
  </si>
  <si>
    <t xml:space="preserve">NESTLE SA           </t>
  </si>
  <si>
    <t xml:space="preserve">THOBILE             </t>
  </si>
  <si>
    <t xml:space="preserve">DANONE SA PTY LTD   </t>
  </si>
  <si>
    <t>SIGNATURE</t>
  </si>
  <si>
    <t>Consignee not available)</t>
  </si>
  <si>
    <t>THE SAB BREWERIES LT</t>
  </si>
  <si>
    <t>Abram</t>
  </si>
  <si>
    <t>Client refused del</t>
  </si>
  <si>
    <t xml:space="preserve">phillip             </t>
  </si>
  <si>
    <t>STEELWOOD INTERNATIO</t>
  </si>
  <si>
    <t xml:space="preserve">thando              </t>
  </si>
  <si>
    <t>MOSSEL BAY</t>
  </si>
  <si>
    <t>CSM BEARING   PNUEMA</t>
  </si>
  <si>
    <t xml:space="preserve">Santie              </t>
  </si>
  <si>
    <t xml:space="preserve">MARTIN   MARTIN PTY </t>
  </si>
  <si>
    <t xml:space="preserve">Elize               </t>
  </si>
  <si>
    <t xml:space="preserve">a nel               </t>
  </si>
  <si>
    <t>SILVER CONTROLS SYST</t>
  </si>
  <si>
    <t xml:space="preserve">tom                 </t>
  </si>
  <si>
    <t>ADCOCK INGRAM HEALTH</t>
  </si>
  <si>
    <t xml:space="preserve">sibusiso            </t>
  </si>
  <si>
    <t>TFM INDUSTRIES PTY L</t>
  </si>
  <si>
    <t xml:space="preserve">valley              </t>
  </si>
  <si>
    <t>QUEENSTOWN</t>
  </si>
  <si>
    <t xml:space="preserve">TWIZZA CC           </t>
  </si>
  <si>
    <t>10::0</t>
  </si>
  <si>
    <t xml:space="preserve">Glenda              </t>
  </si>
  <si>
    <t xml:space="preserve">Saakir              </t>
  </si>
  <si>
    <t xml:space="preserve">G PLAATJIES         </t>
  </si>
  <si>
    <t xml:space="preserve">Patrick             </t>
  </si>
  <si>
    <t>SDX</t>
  </si>
  <si>
    <t xml:space="preserve">DYATY               </t>
  </si>
  <si>
    <t xml:space="preserve">SDX            </t>
  </si>
  <si>
    <t xml:space="preserve">RESPECT             </t>
  </si>
  <si>
    <t xml:space="preserve">shireen             </t>
  </si>
  <si>
    <t xml:space="preserve">Larry               </t>
  </si>
  <si>
    <t xml:space="preserve">TROPICAL PLASTICS   </t>
  </si>
  <si>
    <t xml:space="preserve">Abbas               </t>
  </si>
  <si>
    <t xml:space="preserve">FESTO ISANDO        </t>
  </si>
  <si>
    <t xml:space="preserve">hanne               </t>
  </si>
  <si>
    <t>EVEREST FLEXIBLES (P</t>
  </si>
  <si>
    <t xml:space="preserve">Sheryl              </t>
  </si>
  <si>
    <t xml:space="preserve">mariKa              </t>
  </si>
  <si>
    <t xml:space="preserve">ATELIER SA PTY LTD  </t>
  </si>
  <si>
    <t xml:space="preserve">Catherine           </t>
  </si>
  <si>
    <t xml:space="preserve">JADEC STEEL PROJECT </t>
  </si>
  <si>
    <t xml:space="preserve">FRANS               </t>
  </si>
  <si>
    <t xml:space="preserve">EBERSPACHER ROSSLYN </t>
  </si>
  <si>
    <t xml:space="preserve">Caroline            </t>
  </si>
  <si>
    <t xml:space="preserve">veronica            </t>
  </si>
  <si>
    <t xml:space="preserve">Mona                </t>
  </si>
  <si>
    <t xml:space="preserve">L Le Riche          </t>
  </si>
  <si>
    <t xml:space="preserve">Pameua              </t>
  </si>
  <si>
    <t>FORD OF SOUTHERN AFR</t>
  </si>
  <si>
    <t xml:space="preserve">orea                </t>
  </si>
  <si>
    <t xml:space="preserve">Erve                </t>
  </si>
  <si>
    <t xml:space="preserve">CIM AUTOMATION      </t>
  </si>
  <si>
    <t xml:space="preserve">Natalie             </t>
  </si>
  <si>
    <t xml:space="preserve">CONRO PRECISION     </t>
  </si>
  <si>
    <t xml:space="preserve">kelvin              </t>
  </si>
  <si>
    <t xml:space="preserve">marica              </t>
  </si>
  <si>
    <t xml:space="preserve">CAPE GATE           </t>
  </si>
  <si>
    <t xml:space="preserve">X i Kheswa          </t>
  </si>
  <si>
    <t xml:space="preserve">ISOWAL SA PTY LTD   </t>
  </si>
  <si>
    <t xml:space="preserve">     OIL            </t>
  </si>
  <si>
    <t>10/03/2020</t>
  </si>
  <si>
    <t>mandisi</t>
  </si>
  <si>
    <t xml:space="preserve">COMPANY CLOSED INDUSTRIAL ACTION                 </t>
  </si>
  <si>
    <t xml:space="preserve">PLASCUT 86 (PTY)LTD </t>
  </si>
  <si>
    <t xml:space="preserve">Vincent             </t>
  </si>
  <si>
    <t xml:space="preserve">IPACKCHEM PTY LTD   </t>
  </si>
  <si>
    <t xml:space="preserve">b cormidheel        </t>
  </si>
  <si>
    <t>KNORR-BREMSE (S.A.)(</t>
  </si>
  <si>
    <t xml:space="preserve">Anthony             </t>
  </si>
  <si>
    <t>EGLI PRECISION ENGIN</t>
  </si>
  <si>
    <t>ANALOG   DIGITAL POW</t>
  </si>
  <si>
    <t xml:space="preserve">rhyno               </t>
  </si>
  <si>
    <t>XMECO HEAVY ENGINEER</t>
  </si>
  <si>
    <t xml:space="preserve">chantal             </t>
  </si>
  <si>
    <t xml:space="preserve">ALIDA               </t>
  </si>
  <si>
    <t xml:space="preserve">MERCEDES - BENZ S.A </t>
  </si>
  <si>
    <t xml:space="preserve">LM JOXO             </t>
  </si>
  <si>
    <t xml:space="preserve">BEARING   HYDRAULIC </t>
  </si>
  <si>
    <t xml:space="preserve">sogren naidoo       </t>
  </si>
  <si>
    <t xml:space="preserve">ZAKES               </t>
  </si>
  <si>
    <t xml:space="preserve">TENNECO PLZ         </t>
  </si>
  <si>
    <t xml:space="preserve">xolani              </t>
  </si>
  <si>
    <t xml:space="preserve"> justin</t>
  </si>
  <si>
    <t xml:space="preserve">ADVANCED COMPRESSOR </t>
  </si>
  <si>
    <t xml:space="preserve">e haslecker         </t>
  </si>
  <si>
    <t xml:space="preserve">soul                </t>
  </si>
  <si>
    <t xml:space="preserve">COMPUSCAN           </t>
  </si>
  <si>
    <t xml:space="preserve">daleen              </t>
  </si>
  <si>
    <t xml:space="preserve">Veon                </t>
  </si>
  <si>
    <t xml:space="preserve">nandipha            </t>
  </si>
  <si>
    <t xml:space="preserve">ABERDER CABLES      </t>
  </si>
  <si>
    <t xml:space="preserve">GLADYS              </t>
  </si>
  <si>
    <t>HIGH - TECH CONTROLS</t>
  </si>
  <si>
    <t xml:space="preserve">melin               </t>
  </si>
  <si>
    <t>KIM</t>
  </si>
  <si>
    <t>DANIELSKUIL</t>
  </si>
  <si>
    <t>IDWALA INDUSTRIAL HO</t>
  </si>
  <si>
    <t>EOJO</t>
  </si>
  <si>
    <t>GENERAL MOTORS SA PT</t>
  </si>
  <si>
    <t xml:space="preserve">jenilee             </t>
  </si>
  <si>
    <t xml:space="preserve">musa                </t>
  </si>
  <si>
    <t>PORT SHEPSTONE</t>
  </si>
  <si>
    <t>HYDROMATIC ENTERPRIS</t>
  </si>
  <si>
    <t xml:space="preserve">neville             </t>
  </si>
  <si>
    <t xml:space="preserve">SMITHS PLASTICS PTY </t>
  </si>
  <si>
    <t>DUNLOP BELTING PRODU</t>
  </si>
  <si>
    <t>GREYTOWN</t>
  </si>
  <si>
    <t xml:space="preserve">UCL COMPANY         </t>
  </si>
  <si>
    <t xml:space="preserve">DASHEN              </t>
  </si>
  <si>
    <t xml:space="preserve">cha-ron             </t>
  </si>
  <si>
    <t>VOLKSWAGEN OF SA (VC</t>
  </si>
  <si>
    <t xml:space="preserve">andiswa             </t>
  </si>
  <si>
    <t xml:space="preserve">TECHNICRETE ISG     </t>
  </si>
  <si>
    <t xml:space="preserve">hannelie            </t>
  </si>
  <si>
    <t>RCL FOODCORP (PTY) L</t>
  </si>
  <si>
    <t xml:space="preserve">cuper               </t>
  </si>
  <si>
    <t xml:space="preserve">CROWN CHICKENS      </t>
  </si>
  <si>
    <t xml:space="preserve">peter               </t>
  </si>
  <si>
    <t xml:space="preserve">PANDROL SA PTY LTD  </t>
  </si>
  <si>
    <t xml:space="preserve">CEMPACK             </t>
  </si>
  <si>
    <t xml:space="preserve">Anandi              </t>
  </si>
  <si>
    <t xml:space="preserve">david               </t>
  </si>
  <si>
    <t>ASSA ABLOY (SA)(PTY)</t>
  </si>
  <si>
    <t xml:space="preserve">JOYCE               </t>
  </si>
  <si>
    <t>MITTAL STEEL SOUTH A</t>
  </si>
  <si>
    <t xml:space="preserve"> COLLEN</t>
  </si>
  <si>
    <t>Consignee not available</t>
  </si>
  <si>
    <t>PIONEER FOOD PTY LTD</t>
  </si>
  <si>
    <t xml:space="preserve">joyce               </t>
  </si>
  <si>
    <t xml:space="preserve">FESTO CPT           </t>
  </si>
  <si>
    <t xml:space="preserve">Peter               </t>
  </si>
  <si>
    <t xml:space="preserve">K.K SHELVING        </t>
  </si>
  <si>
    <t xml:space="preserve">leoni               </t>
  </si>
  <si>
    <t xml:space="preserve">MARILENE            </t>
  </si>
  <si>
    <t xml:space="preserve">COCA COLA PENINSULA </t>
  </si>
  <si>
    <t xml:space="preserve">Anthea              </t>
  </si>
  <si>
    <t>STRAIT ACCESS TECHNO</t>
  </si>
  <si>
    <t xml:space="preserve">lathiwe             </t>
  </si>
  <si>
    <t xml:space="preserve">Kerileng            </t>
  </si>
  <si>
    <t xml:space="preserve"> ROLAND</t>
  </si>
  <si>
    <t xml:space="preserve">MariKa              </t>
  </si>
  <si>
    <t xml:space="preserve">DERRICK             </t>
  </si>
  <si>
    <t>UMTATA</t>
  </si>
  <si>
    <t>PREMIER FMCG PTY LTD</t>
  </si>
  <si>
    <t>NTETHELELO</t>
  </si>
  <si>
    <t xml:space="preserve">kanny               </t>
  </si>
  <si>
    <t xml:space="preserve">NEUMATICS KZN       </t>
  </si>
  <si>
    <t xml:space="preserve">MPHO                </t>
  </si>
  <si>
    <t xml:space="preserve">HULAMIN OPERATIONTS </t>
  </si>
  <si>
    <t xml:space="preserve">thami               </t>
  </si>
  <si>
    <t>TECHQUIP DEVELOPMENT</t>
  </si>
  <si>
    <t xml:space="preserve">ricky               </t>
  </si>
  <si>
    <t xml:space="preserve">lewelyn             </t>
  </si>
  <si>
    <t>RICHMOND (NATAL)</t>
  </si>
  <si>
    <t xml:space="preserve">NORMANDIEN FARMS    </t>
  </si>
  <si>
    <t xml:space="preserve"> H ROBB</t>
  </si>
  <si>
    <t xml:space="preserve">KIMONA              </t>
  </si>
  <si>
    <t xml:space="preserve">steven              </t>
  </si>
  <si>
    <t>PRO PROJECT ENGINEER</t>
  </si>
  <si>
    <t>TENOVA TAKRAF AFRICA</t>
  </si>
  <si>
    <t xml:space="preserve">Fanie               </t>
  </si>
  <si>
    <t xml:space="preserve">h mnguni            </t>
  </si>
  <si>
    <t xml:space="preserve">PIONEER FOODS       </t>
  </si>
  <si>
    <t xml:space="preserve">R Daniels           </t>
  </si>
  <si>
    <t xml:space="preserve">THUTHUKA PACKAGING  </t>
  </si>
  <si>
    <t xml:space="preserve">BEVERLEY            </t>
  </si>
  <si>
    <t xml:space="preserve">gabby               </t>
  </si>
  <si>
    <t xml:space="preserve">Mbali               </t>
  </si>
  <si>
    <t xml:space="preserve">DISTELL             </t>
  </si>
  <si>
    <t xml:space="preserve">KSNACKS             </t>
  </si>
  <si>
    <t xml:space="preserve">KHULEKANI           </t>
  </si>
  <si>
    <t xml:space="preserve">PROVITE ENTERPRISE  </t>
  </si>
  <si>
    <t xml:space="preserve">horst               </t>
  </si>
  <si>
    <t>CONTINENTAL BISCUITS</t>
  </si>
  <si>
    <t xml:space="preserve">arnold              </t>
  </si>
  <si>
    <t xml:space="preserve">Bakker              </t>
  </si>
  <si>
    <t>06/03/2020</t>
  </si>
  <si>
    <t xml:space="preserve">NICKLAS             </t>
  </si>
  <si>
    <t xml:space="preserve">HITAP               </t>
  </si>
  <si>
    <t xml:space="preserve">Dylan               </t>
  </si>
  <si>
    <t xml:space="preserve">MUSA                </t>
  </si>
  <si>
    <t xml:space="preserve">sbahle              </t>
  </si>
  <si>
    <t>VANNPAX PACKAGING SU</t>
  </si>
  <si>
    <t xml:space="preserve">Christiaan          </t>
  </si>
  <si>
    <t xml:space="preserve">Phillys             </t>
  </si>
  <si>
    <t xml:space="preserve">Marenique           </t>
  </si>
  <si>
    <t xml:space="preserve">Richard             </t>
  </si>
  <si>
    <t xml:space="preserve">B M S C ENGINEERING </t>
  </si>
  <si>
    <t xml:space="preserve">sugan               </t>
  </si>
  <si>
    <t xml:space="preserve">carel               </t>
  </si>
  <si>
    <t xml:space="preserve">Kathleen            </t>
  </si>
  <si>
    <t>SOUTHERN LIFE GARDEN</t>
  </si>
  <si>
    <t xml:space="preserve">patrick             </t>
  </si>
  <si>
    <t xml:space="preserve">Craig               </t>
  </si>
  <si>
    <t xml:space="preserve">courtlan            </t>
  </si>
  <si>
    <t xml:space="preserve">PREMIER FOODS (PTY) </t>
  </si>
  <si>
    <t xml:space="preserve">Samuel              </t>
  </si>
  <si>
    <t xml:space="preserve">CITRASHINE          </t>
  </si>
  <si>
    <t xml:space="preserve">haward              </t>
  </si>
  <si>
    <t xml:space="preserve">HANSENS ENGENNERING </t>
  </si>
  <si>
    <t xml:space="preserve">sanele              </t>
  </si>
  <si>
    <t xml:space="preserve">Chantelle           </t>
  </si>
  <si>
    <t xml:space="preserve">AMKA PRODUCTS       </t>
  </si>
  <si>
    <t xml:space="preserve">skwan               </t>
  </si>
  <si>
    <t xml:space="preserve">KLAAS               </t>
  </si>
  <si>
    <t>PIONEER FOODS (PTY)L</t>
  </si>
  <si>
    <t>MZ TRANSMISION   ENG</t>
  </si>
  <si>
    <t xml:space="preserve">ashleigh            </t>
  </si>
  <si>
    <t>KANSAI PLASCON KRUGE</t>
  </si>
  <si>
    <t xml:space="preserve">zelada              </t>
  </si>
  <si>
    <t xml:space="preserve">BENTELER SA         </t>
  </si>
  <si>
    <t xml:space="preserve">TSEPO               </t>
  </si>
  <si>
    <t xml:space="preserve">Merriam             </t>
  </si>
  <si>
    <t xml:space="preserve">SELLO               </t>
  </si>
  <si>
    <t xml:space="preserve">LIXIL               </t>
  </si>
  <si>
    <t xml:space="preserve">Mpumi               </t>
  </si>
  <si>
    <t xml:space="preserve">ALISTON             </t>
  </si>
  <si>
    <t xml:space="preserve">amon                </t>
  </si>
  <si>
    <t xml:space="preserve">Duan                </t>
  </si>
  <si>
    <t xml:space="preserve">FAIRFIELD DAIRY PTY </t>
  </si>
  <si>
    <t xml:space="preserve">Colin               </t>
  </si>
  <si>
    <t>FELTEX AUTOMOTIVE DI</t>
  </si>
  <si>
    <t xml:space="preserve">Nomvula             </t>
  </si>
  <si>
    <t>ISITHEBE</t>
  </si>
  <si>
    <t>TAURUS PAPER PRODUCT</t>
  </si>
  <si>
    <t xml:space="preserve">GUTH SA PTY LTD     </t>
  </si>
  <si>
    <t xml:space="preserve">MOHAMED             </t>
  </si>
  <si>
    <t xml:space="preserve">DES GROUP (PTY)LTD  </t>
  </si>
  <si>
    <t xml:space="preserve">Jenny               </t>
  </si>
  <si>
    <t xml:space="preserve">PBA SPARES (PTY)LTD </t>
  </si>
  <si>
    <t xml:space="preserve">Michael             </t>
  </si>
  <si>
    <t xml:space="preserve">ATLANTIS SPECIALIST </t>
  </si>
  <si>
    <t xml:space="preserve">Binche Botha        </t>
  </si>
  <si>
    <t>GLEDHOW SUGAR CO. PT</t>
  </si>
  <si>
    <t>UNION -SWISS PTY LTD</t>
  </si>
  <si>
    <t xml:space="preserve">corne               </t>
  </si>
  <si>
    <t xml:space="preserve">TARRYN              </t>
  </si>
  <si>
    <t>LINDE + WIEMANN (PTY</t>
  </si>
  <si>
    <t xml:space="preserve">Steve               </t>
  </si>
  <si>
    <t>FEDERAL MOGUL FRICTI</t>
  </si>
  <si>
    <t xml:space="preserve">Innocent            </t>
  </si>
  <si>
    <t xml:space="preserve">NICHOLAS            </t>
  </si>
  <si>
    <t>WEL</t>
  </si>
  <si>
    <t>WELKOM</t>
  </si>
  <si>
    <t>ADCORP TECHNICAL TRA</t>
  </si>
  <si>
    <t xml:space="preserve">Lindiwe radebe      </t>
  </si>
  <si>
    <t xml:space="preserve">Ashwin              </t>
  </si>
  <si>
    <t>RCB</t>
  </si>
  <si>
    <t>RICHARDS BAY</t>
  </si>
  <si>
    <t>ARB ELECTRICAL WHOLE</t>
  </si>
  <si>
    <t xml:space="preserve">alois               </t>
  </si>
  <si>
    <t>FORD MOTOR CO. SA MA</t>
  </si>
  <si>
    <t>KENZEL ENGINEERING T</t>
  </si>
  <si>
    <t xml:space="preserve">p welles            </t>
  </si>
  <si>
    <t xml:space="preserve">PFG BUILDING GLASS  </t>
  </si>
  <si>
    <t xml:space="preserve">Leva                </t>
  </si>
  <si>
    <t xml:space="preserve">thabane             </t>
  </si>
  <si>
    <t xml:space="preserve">gary                </t>
  </si>
  <si>
    <t>UMGENI WATER PINETOW</t>
  </si>
  <si>
    <t xml:space="preserve">edwin               </t>
  </si>
  <si>
    <t xml:space="preserve">nathan              </t>
  </si>
  <si>
    <t>PAROW PRODUCTION   D</t>
  </si>
  <si>
    <t>HEILBRON</t>
  </si>
  <si>
    <t xml:space="preserve">CLOVER S.A          </t>
  </si>
  <si>
    <t xml:space="preserve">RUITERS             </t>
  </si>
  <si>
    <t xml:space="preserve">CHA-RON             </t>
  </si>
  <si>
    <t xml:space="preserve">MILLICENT           </t>
  </si>
  <si>
    <t>CENTURION</t>
  </si>
  <si>
    <t xml:space="preserve">EXROTH MACHINE TOOL </t>
  </si>
  <si>
    <t xml:space="preserve">s da silva          </t>
  </si>
  <si>
    <t xml:space="preserve">CAXTON WORKS        </t>
  </si>
  <si>
    <t xml:space="preserve">gift                </t>
  </si>
  <si>
    <t xml:space="preserve">CTP PRINTERS CPT    </t>
  </si>
  <si>
    <t xml:space="preserve">N Africa            </t>
  </si>
  <si>
    <t xml:space="preserve">DSV CO TRADECORP    </t>
  </si>
  <si>
    <t xml:space="preserve">RESEND         </t>
  </si>
  <si>
    <t xml:space="preserve">melvin              </t>
  </si>
  <si>
    <t xml:space="preserve">MAKSAL TUBE PTY LTD </t>
  </si>
  <si>
    <t xml:space="preserve">Beverley            </t>
  </si>
  <si>
    <t xml:space="preserve">maulatse            </t>
  </si>
  <si>
    <t xml:space="preserve">FOSECO              </t>
  </si>
  <si>
    <t xml:space="preserve">LEE-ANN BROWN       </t>
  </si>
  <si>
    <t>UNILEVER ANDERBOLT H</t>
  </si>
  <si>
    <t xml:space="preserve">NQOBA               </t>
  </si>
  <si>
    <t>NEW</t>
  </si>
  <si>
    <t>LADYSMITH (NTL)</t>
  </si>
  <si>
    <t>LADYSMITH TRADING CO</t>
  </si>
  <si>
    <t xml:space="preserve">REVISHKA            </t>
  </si>
  <si>
    <t>AMANZIMTOTI</t>
  </si>
  <si>
    <t xml:space="preserve">DES GROUP (PTY) LTD </t>
  </si>
  <si>
    <t xml:space="preserve">muzie               </t>
  </si>
  <si>
    <t xml:space="preserve">JARRAD              </t>
  </si>
  <si>
    <t>OPEN DOOR TRADERS CC</t>
  </si>
  <si>
    <t xml:space="preserve">zahid               </t>
  </si>
  <si>
    <t xml:space="preserve">PRAGA TECHNICAL PTY </t>
  </si>
  <si>
    <t xml:space="preserve">Andre               </t>
  </si>
  <si>
    <t xml:space="preserve">KELP PRODUCTS (PTY) </t>
  </si>
  <si>
    <t xml:space="preserve">LILIAN              </t>
  </si>
  <si>
    <t>WATCH TOWER BIBLE TR</t>
  </si>
  <si>
    <t xml:space="preserve">R Geduld            </t>
  </si>
  <si>
    <t xml:space="preserve">MECHATRONICS        </t>
  </si>
  <si>
    <t>NIGEL</t>
  </si>
  <si>
    <t>COCA COLA SHANDUKA B</t>
  </si>
  <si>
    <t xml:space="preserve">godness             </t>
  </si>
  <si>
    <t xml:space="preserve">MA AUTOMOTIVE TOOL  </t>
  </si>
  <si>
    <t xml:space="preserve">Alfred              </t>
  </si>
  <si>
    <t xml:space="preserve">Amos                </t>
  </si>
  <si>
    <t xml:space="preserve">Gremmah             </t>
  </si>
  <si>
    <t xml:space="preserve">MAXION WHEELS SA    </t>
  </si>
  <si>
    <t xml:space="preserve">GODFREY             </t>
  </si>
  <si>
    <t xml:space="preserve">Jacob               </t>
  </si>
  <si>
    <t xml:space="preserve">JOD-PROCUREMENT     </t>
  </si>
  <si>
    <t xml:space="preserve">Conrad              </t>
  </si>
  <si>
    <t xml:space="preserve">VESUVIUS            </t>
  </si>
  <si>
    <t xml:space="preserve">godley              </t>
  </si>
  <si>
    <t xml:space="preserve">PICABIZ 304         </t>
  </si>
  <si>
    <t xml:space="preserve">dawn                </t>
  </si>
  <si>
    <t xml:space="preserve">MEAGAN              </t>
  </si>
  <si>
    <t xml:space="preserve">alex                </t>
  </si>
  <si>
    <t xml:space="preserve">KIMBERLEY-CLARK S.A </t>
  </si>
  <si>
    <t xml:space="preserve">beverly             </t>
  </si>
  <si>
    <t>PMD PACKAGING SYSTEM</t>
  </si>
  <si>
    <t xml:space="preserve">A NARE              </t>
  </si>
  <si>
    <t>SOUTHERN SERVICES CC</t>
  </si>
  <si>
    <t xml:space="preserve">Ernest              </t>
  </si>
  <si>
    <t xml:space="preserve">BMG ROSSLYN 0182    </t>
  </si>
  <si>
    <t xml:space="preserve">Floris              </t>
  </si>
  <si>
    <t xml:space="preserve">SBONELO             </t>
  </si>
  <si>
    <t xml:space="preserve">devashnee           </t>
  </si>
  <si>
    <t>ESTCOURT</t>
  </si>
  <si>
    <t xml:space="preserve">L T Naiker          </t>
  </si>
  <si>
    <t xml:space="preserve">LATHINE             </t>
  </si>
  <si>
    <t xml:space="preserve">BORBET SA (PTY) LTD </t>
  </si>
  <si>
    <t xml:space="preserve">henry               </t>
  </si>
  <si>
    <t xml:space="preserve">NOMVULA             </t>
  </si>
  <si>
    <t>ACAP HYDRO PNEUMATIC</t>
  </si>
  <si>
    <t xml:space="preserve">Justin              </t>
  </si>
  <si>
    <t xml:space="preserve">basul               </t>
  </si>
  <si>
    <t>BRINK TOWING SYSTEMS</t>
  </si>
  <si>
    <t xml:space="preserve">rhett               </t>
  </si>
  <si>
    <t xml:space="preserve">PINESIDE            </t>
  </si>
  <si>
    <t xml:space="preserve">FESTO PLZ           </t>
  </si>
  <si>
    <t xml:space="preserve">zelda               </t>
  </si>
  <si>
    <t xml:space="preserve">silence             </t>
  </si>
  <si>
    <t>ELECTRO MECH SERVICE</t>
  </si>
  <si>
    <t xml:space="preserve">Rene                </t>
  </si>
  <si>
    <t>JNB</t>
  </si>
  <si>
    <t xml:space="preserve">thembela            </t>
  </si>
  <si>
    <t xml:space="preserve">VC PARCL       </t>
  </si>
  <si>
    <t xml:space="preserve">CAVALETTO 98        </t>
  </si>
  <si>
    <t xml:space="preserve">THABO               </t>
  </si>
  <si>
    <t xml:space="preserve">FOODSERV SOLUTIONS  </t>
  </si>
  <si>
    <t xml:space="preserve">mama                </t>
  </si>
  <si>
    <t xml:space="preserve">SYLKO PTY LTD       </t>
  </si>
  <si>
    <t xml:space="preserve">maureen             </t>
  </si>
  <si>
    <t xml:space="preserve">SASOL INFRACHEM     </t>
  </si>
  <si>
    <t xml:space="preserve">andries             </t>
  </si>
  <si>
    <t>C   M HYDRAULIC SERV</t>
  </si>
  <si>
    <t xml:space="preserve">c wilson            </t>
  </si>
  <si>
    <t xml:space="preserve">TUMELO              </t>
  </si>
  <si>
    <t xml:space="preserve">PAILPRINT PTY LTD   </t>
  </si>
  <si>
    <t xml:space="preserve">doreen              </t>
  </si>
  <si>
    <t xml:space="preserve">ESKORT LTD          </t>
  </si>
  <si>
    <t xml:space="preserve">Thobeka             </t>
  </si>
  <si>
    <t xml:space="preserve">QUALITECHS          </t>
  </si>
  <si>
    <t xml:space="preserve">sam williams        </t>
  </si>
  <si>
    <t>STAR HYDRAULICS   PN</t>
  </si>
  <si>
    <t xml:space="preserve">B Koen              </t>
  </si>
  <si>
    <t>UNIVERSAL PAPER MANU</t>
  </si>
  <si>
    <t>CHEMLINK SA (PTY) LT</t>
  </si>
  <si>
    <t xml:space="preserve">Andrew              </t>
  </si>
  <si>
    <t xml:space="preserve">brain               </t>
  </si>
  <si>
    <t xml:space="preserve">VC PARCEL      </t>
  </si>
  <si>
    <t>PRODUCTIVE SYSTEMS C</t>
  </si>
  <si>
    <t xml:space="preserve">STEPHENS VALVES     </t>
  </si>
  <si>
    <t xml:space="preserve">norman              </t>
  </si>
  <si>
    <t xml:space="preserve">S.A.M.E WATER       </t>
  </si>
  <si>
    <t xml:space="preserve">Eureca              </t>
  </si>
  <si>
    <t xml:space="preserve">NATIONAL BRANDS BIS </t>
  </si>
  <si>
    <t xml:space="preserve">Sipho               </t>
  </si>
  <si>
    <t xml:space="preserve">andile              </t>
  </si>
  <si>
    <t xml:space="preserve">Mrs. Janet Minogue  </t>
  </si>
  <si>
    <t xml:space="preserve">JANET               </t>
  </si>
  <si>
    <t xml:space="preserve">OCEAN LEGACY MARINE </t>
  </si>
  <si>
    <t xml:space="preserve">catty               </t>
  </si>
  <si>
    <t>SWELLENDAM</t>
  </si>
  <si>
    <t>SOUTHERN OIL LTD T A</t>
  </si>
  <si>
    <t xml:space="preserve">A Chetty            </t>
  </si>
  <si>
    <t>FLEX -IT ENGINEERING</t>
  </si>
  <si>
    <t xml:space="preserve">anthony             </t>
  </si>
  <si>
    <t xml:space="preserve">COMAR INTERNATIONAL </t>
  </si>
  <si>
    <t xml:space="preserve">ramy                </t>
  </si>
  <si>
    <t xml:space="preserve">VUKANI              </t>
  </si>
  <si>
    <t xml:space="preserve">Henry               </t>
  </si>
  <si>
    <t xml:space="preserve">D Ferguson          </t>
  </si>
  <si>
    <t xml:space="preserve">DANRE               </t>
  </si>
  <si>
    <t xml:space="preserve">RAGON INDUSTRIES    </t>
  </si>
  <si>
    <t xml:space="preserve">chantelle           </t>
  </si>
  <si>
    <t>BLEISTAHL MANUFACTUR</t>
  </si>
  <si>
    <t xml:space="preserve">AMANDA LOYDD        </t>
  </si>
  <si>
    <t>VRS ELECTRICAL WHOLE</t>
  </si>
  <si>
    <t xml:space="preserve">NEELAN              </t>
  </si>
  <si>
    <t>WILMAR CONTINENTAL E</t>
  </si>
  <si>
    <t xml:space="preserve">kelly               </t>
  </si>
  <si>
    <t xml:space="preserve">LIQUI BOX           </t>
  </si>
  <si>
    <t xml:space="preserve">PROXA (PTY) LTD     </t>
  </si>
  <si>
    <t xml:space="preserve">C Smit              </t>
  </si>
  <si>
    <t xml:space="preserve">Arthur              </t>
  </si>
  <si>
    <t>TORRE AUTOMOTIVE (PT</t>
  </si>
  <si>
    <t xml:space="preserve">liesl               </t>
  </si>
  <si>
    <t>MACADAMS INTERNATION</t>
  </si>
  <si>
    <t xml:space="preserve">zweletu             </t>
  </si>
  <si>
    <t xml:space="preserve">Danie               </t>
  </si>
  <si>
    <t xml:space="preserve">BRAVO GROUP LOUGE   </t>
  </si>
  <si>
    <t xml:space="preserve">edwina              </t>
  </si>
  <si>
    <t>VERTEX AUTOMATION PT</t>
  </si>
  <si>
    <t xml:space="preserve">siphiwe             </t>
  </si>
  <si>
    <t xml:space="preserve">Samson              </t>
  </si>
  <si>
    <t xml:space="preserve">Xolani              </t>
  </si>
  <si>
    <t xml:space="preserve">rv nzama            </t>
  </si>
  <si>
    <t xml:space="preserve">NADINE MATTHEE      </t>
  </si>
  <si>
    <t xml:space="preserve">T Searle            </t>
  </si>
  <si>
    <t xml:space="preserve">theo                </t>
  </si>
  <si>
    <t xml:space="preserve">erve                </t>
  </si>
  <si>
    <t xml:space="preserve">chigoza             </t>
  </si>
  <si>
    <t xml:space="preserve">Thompson            </t>
  </si>
  <si>
    <t xml:space="preserve">BIC SA PTY LTD      </t>
  </si>
  <si>
    <t xml:space="preserve">tshiemo             </t>
  </si>
  <si>
    <t>DUIWELSKLOOF</t>
  </si>
  <si>
    <t xml:space="preserve">ROBS SPICES CC      </t>
  </si>
  <si>
    <t xml:space="preserve">j harmie            </t>
  </si>
  <si>
    <t>CDP MANUFACTURING CC</t>
  </si>
  <si>
    <t xml:space="preserve">COPY                </t>
  </si>
  <si>
    <t xml:space="preserve">UNIVERSAL AUTOMATED </t>
  </si>
  <si>
    <t xml:space="preserve">WILLEM              </t>
  </si>
  <si>
    <t>WESTONARIA</t>
  </si>
  <si>
    <t xml:space="preserve">EXCELERON (PTY)LTD  </t>
  </si>
  <si>
    <t xml:space="preserve">NKULULEKO           </t>
  </si>
  <si>
    <t xml:space="preserve">VENTURE DIVERSIFIED </t>
  </si>
  <si>
    <t>EAST RAND PLASTIC (P</t>
  </si>
  <si>
    <t>11/03/2020</t>
  </si>
  <si>
    <t xml:space="preserve">keizer              </t>
  </si>
  <si>
    <t xml:space="preserve">v moses             </t>
  </si>
  <si>
    <t>FUEL INDUSTRY SERVIC</t>
  </si>
  <si>
    <t xml:space="preserve">G Ermer             </t>
  </si>
  <si>
    <t xml:space="preserve">courtney            </t>
  </si>
  <si>
    <t xml:space="preserve">chail               </t>
  </si>
  <si>
    <t xml:space="preserve">LUSINDA             </t>
  </si>
  <si>
    <t xml:space="preserve">andre               </t>
  </si>
  <si>
    <t>AUTOPAC MACHINERY CO</t>
  </si>
  <si>
    <t xml:space="preserve">l nel               </t>
  </si>
  <si>
    <t>APEX AUTOMATIONN (PT</t>
  </si>
  <si>
    <t>J LABUSCHAGNE</t>
  </si>
  <si>
    <t xml:space="preserve">MAINSTREET 1310     </t>
  </si>
  <si>
    <t xml:space="preserve">esther              </t>
  </si>
  <si>
    <t xml:space="preserve">LUCY                </t>
  </si>
  <si>
    <t xml:space="preserve">RADIOLENS           </t>
  </si>
  <si>
    <t xml:space="preserve">Engela              </t>
  </si>
  <si>
    <t xml:space="preserve">Jade                </t>
  </si>
  <si>
    <t xml:space="preserve">TIGER BRANDS SNACKS </t>
  </si>
  <si>
    <t xml:space="preserve">thabile             </t>
  </si>
  <si>
    <t xml:space="preserve">ANDREAS             </t>
  </si>
  <si>
    <t xml:space="preserve">UNIVERSAL CLIPS     </t>
  </si>
  <si>
    <t xml:space="preserve">lindiwe             </t>
  </si>
  <si>
    <t xml:space="preserve">asanda              </t>
  </si>
  <si>
    <t xml:space="preserve">Norman              </t>
  </si>
  <si>
    <t xml:space="preserve">rico                </t>
  </si>
  <si>
    <t>WIT</t>
  </si>
  <si>
    <t>MIDDELBURG (Mpumalanga)</t>
  </si>
  <si>
    <t>ENPROTEC NENVIROMENT</t>
  </si>
  <si>
    <t xml:space="preserve">Lesley              </t>
  </si>
  <si>
    <t>KINGWILLIAMSTOWN</t>
  </si>
  <si>
    <t xml:space="preserve">MA AUTOMOTIVE       </t>
  </si>
  <si>
    <t xml:space="preserve">SIBUSISO            </t>
  </si>
  <si>
    <t xml:space="preserve">shiphokazi          </t>
  </si>
  <si>
    <t xml:space="preserve">PREMIER FGCM        </t>
  </si>
  <si>
    <t xml:space="preserve">M Siyolo            </t>
  </si>
  <si>
    <t>HARDWARE MECCA (PTY)</t>
  </si>
  <si>
    <t xml:space="preserve">BENNIE              </t>
  </si>
  <si>
    <t xml:space="preserve">ashley              </t>
  </si>
  <si>
    <t xml:space="preserve"> STRIKE</t>
  </si>
  <si>
    <t xml:space="preserve">IDWALA CARBONATES   </t>
  </si>
  <si>
    <t xml:space="preserve">qurisha             </t>
  </si>
  <si>
    <t xml:space="preserve">hope                </t>
  </si>
  <si>
    <t>BIG OR SMALL PROJECT</t>
  </si>
  <si>
    <t xml:space="preserve">Jopie               </t>
  </si>
  <si>
    <t>Dedisa Peaking Power</t>
  </si>
  <si>
    <t xml:space="preserve">shane chetty        </t>
  </si>
  <si>
    <t>TZANEEN</t>
  </si>
  <si>
    <t>MERENSKY THIMBER (PT</t>
  </si>
  <si>
    <t xml:space="preserve">dorris              </t>
  </si>
  <si>
    <t>abram</t>
  </si>
  <si>
    <t xml:space="preserve">errol               </t>
  </si>
  <si>
    <t>Bakker</t>
  </si>
  <si>
    <t xml:space="preserve">shaun               </t>
  </si>
  <si>
    <t xml:space="preserve">IRVIN   JONSON LTD  </t>
  </si>
  <si>
    <t xml:space="preserve">SABURT              </t>
  </si>
  <si>
    <t xml:space="preserve">LEO                 </t>
  </si>
  <si>
    <t xml:space="preserve">KIMBERLY CLARK      </t>
  </si>
  <si>
    <t xml:space="preserve">MAGDA               </t>
  </si>
  <si>
    <t xml:space="preserve">victory             </t>
  </si>
  <si>
    <t xml:space="preserve">letta               </t>
  </si>
  <si>
    <t xml:space="preserve">collen              </t>
  </si>
  <si>
    <t xml:space="preserve">ryran               </t>
  </si>
  <si>
    <t xml:space="preserve">SANMIK AGENCIES CC  </t>
  </si>
  <si>
    <t xml:space="preserve">CLIVE               </t>
  </si>
  <si>
    <t>RIDGE DISTRIBUTORS C</t>
  </si>
  <si>
    <t xml:space="preserve">Liza                </t>
  </si>
  <si>
    <t xml:space="preserve">sheriff             </t>
  </si>
  <si>
    <t>TRUDA SNACKS CAPE CC</t>
  </si>
  <si>
    <t xml:space="preserve">clive               </t>
  </si>
  <si>
    <t>A.P.L. CARTONS (PTY)</t>
  </si>
  <si>
    <t xml:space="preserve">A P L  CARTONS  PTY </t>
  </si>
  <si>
    <t>PROPET S.A (PTY) LTD</t>
  </si>
  <si>
    <t>PROCESS DYNAMICS PTY</t>
  </si>
  <si>
    <t xml:space="preserve">Cara                </t>
  </si>
  <si>
    <t xml:space="preserve">PETER               </t>
  </si>
  <si>
    <t>NOVUS PRINT (PTY) LT</t>
  </si>
  <si>
    <t xml:space="preserve">surprise            </t>
  </si>
  <si>
    <t xml:space="preserve">JOEY                </t>
  </si>
  <si>
    <t xml:space="preserve">POLIMATRIX S.A      </t>
  </si>
  <si>
    <t xml:space="preserve">elaine              </t>
  </si>
  <si>
    <t>LOUIS TRICHARDT</t>
  </si>
  <si>
    <t>KUTAMA SINTHUMULE CO</t>
  </si>
  <si>
    <t xml:space="preserve">elmarie             </t>
  </si>
  <si>
    <t xml:space="preserve">Shireen             </t>
  </si>
  <si>
    <t xml:space="preserve">tshiamo             </t>
  </si>
  <si>
    <t xml:space="preserve">sipho               </t>
  </si>
  <si>
    <t>ALBANY BAKERY RANDFO</t>
  </si>
  <si>
    <t xml:space="preserve">zandile             </t>
  </si>
  <si>
    <t xml:space="preserve">RICHMAN             </t>
  </si>
  <si>
    <t xml:space="preserve">wasiefa             </t>
  </si>
  <si>
    <t xml:space="preserve">THEMBA              </t>
  </si>
  <si>
    <t xml:space="preserve">BRIDGE PROCUREMENT  </t>
  </si>
  <si>
    <t xml:space="preserve">robert              </t>
  </si>
  <si>
    <t xml:space="preserve">THULANI             </t>
  </si>
  <si>
    <t xml:space="preserve">wezley              </t>
  </si>
  <si>
    <t>BEARING   ACCESSORIE</t>
  </si>
  <si>
    <t xml:space="preserve">elisha              </t>
  </si>
  <si>
    <t>UNILEVER SOUTH AFRIC</t>
  </si>
  <si>
    <t xml:space="preserve">prince K            </t>
  </si>
  <si>
    <t>SEECOR BLOW MOULDERS</t>
  </si>
  <si>
    <t xml:space="preserve">c  botha            </t>
  </si>
  <si>
    <t>SOMERSET EAST</t>
  </si>
  <si>
    <t xml:space="preserve">PJ ENGINEERING      </t>
  </si>
  <si>
    <t>14::4</t>
  </si>
  <si>
    <t xml:space="preserve">mariska             </t>
  </si>
  <si>
    <t xml:space="preserve">rezhaan             </t>
  </si>
  <si>
    <t xml:space="preserve">    PARCEL LOST ELST062007         </t>
  </si>
  <si>
    <t xml:space="preserve">CEC FABRICATION AND </t>
  </si>
  <si>
    <t xml:space="preserve">CHLARISSA           </t>
  </si>
  <si>
    <t xml:space="preserve">Donald              </t>
  </si>
  <si>
    <t xml:space="preserve">Johannah            </t>
  </si>
  <si>
    <t xml:space="preserve">cidney              </t>
  </si>
  <si>
    <t xml:space="preserve">NOVUS PRINT PTY LTD </t>
  </si>
  <si>
    <t xml:space="preserve">precious            </t>
  </si>
  <si>
    <t xml:space="preserve">Keenan              </t>
  </si>
  <si>
    <t xml:space="preserve">MARLEY PIPE SYSTEMS </t>
  </si>
  <si>
    <t xml:space="preserve">CONVERSION WV       </t>
  </si>
  <si>
    <t xml:space="preserve">Fortune             </t>
  </si>
  <si>
    <t xml:space="preserve">ANDREA              </t>
  </si>
  <si>
    <t xml:space="preserve">SAFRIPOL            </t>
  </si>
  <si>
    <t xml:space="preserve">Debbie              </t>
  </si>
  <si>
    <t>AUTOMATION WORKS GAU</t>
  </si>
  <si>
    <t xml:space="preserve">Senzeni             </t>
  </si>
  <si>
    <t xml:space="preserve">Chaml               </t>
  </si>
  <si>
    <t xml:space="preserve">tshepo              </t>
  </si>
  <si>
    <t xml:space="preserve">hopewell            </t>
  </si>
  <si>
    <t xml:space="preserve">oratile             </t>
  </si>
  <si>
    <t xml:space="preserve">SAPPI SA LTD        </t>
  </si>
  <si>
    <t xml:space="preserve">lewellyn            </t>
  </si>
  <si>
    <t xml:space="preserve">nomvuyo             </t>
  </si>
  <si>
    <t xml:space="preserve">MOTAUNG             </t>
  </si>
  <si>
    <t xml:space="preserve">Ulrich              </t>
  </si>
  <si>
    <t xml:space="preserve">ANGELA              </t>
  </si>
  <si>
    <t xml:space="preserve">DALE SPIRAL SYSTEMS </t>
  </si>
  <si>
    <t xml:space="preserve">UNIVERSAL COOLERS   </t>
  </si>
  <si>
    <t xml:space="preserve">llewellyn           </t>
  </si>
  <si>
    <t>AUTOMOTIVE   GENERAL</t>
  </si>
  <si>
    <t xml:space="preserve">carlo               </t>
  </si>
  <si>
    <t>SIMSTONE VERVEERDIGI</t>
  </si>
  <si>
    <t xml:space="preserve">Mirzane             </t>
  </si>
  <si>
    <t>PRESSURE DIE CASTING</t>
  </si>
  <si>
    <t xml:space="preserve">chantel             </t>
  </si>
  <si>
    <t xml:space="preserve">ELCOMP PTY LTD      </t>
  </si>
  <si>
    <t xml:space="preserve">mavis               </t>
  </si>
  <si>
    <t xml:space="preserve">Varetia             </t>
  </si>
  <si>
    <t xml:space="preserve">cooper              </t>
  </si>
  <si>
    <t>12/03/2020</t>
  </si>
  <si>
    <t xml:space="preserve">luyanda             </t>
  </si>
  <si>
    <t xml:space="preserve">nomvuzo             </t>
  </si>
  <si>
    <t>LINEAR PLASTICS   PA</t>
  </si>
  <si>
    <t xml:space="preserve">lina                </t>
  </si>
  <si>
    <t xml:space="preserve">keagan              </t>
  </si>
  <si>
    <t xml:space="preserve">AVENG MANUFACTURING </t>
  </si>
  <si>
    <t xml:space="preserve">Regan               </t>
  </si>
  <si>
    <t xml:space="preserve">REHAU POLYMER (PTY) </t>
  </si>
  <si>
    <t xml:space="preserve">Mzimasi             </t>
  </si>
  <si>
    <t xml:space="preserve">Oupa                </t>
  </si>
  <si>
    <t xml:space="preserve">SASOL POLYMERS      </t>
  </si>
  <si>
    <t xml:space="preserve">SAM                 </t>
  </si>
  <si>
    <t xml:space="preserve">BAYER PTY LTD       </t>
  </si>
  <si>
    <t xml:space="preserve">riaan               </t>
  </si>
  <si>
    <t>CARLETONVILLE</t>
  </si>
  <si>
    <t>CNL INDUSTRIAL MININ</t>
  </si>
  <si>
    <t xml:space="preserve">vusi                </t>
  </si>
  <si>
    <t xml:space="preserve">VUKILE              </t>
  </si>
  <si>
    <t xml:space="preserve">Gert                </t>
  </si>
  <si>
    <t xml:space="preserve">marince             </t>
  </si>
  <si>
    <t>NAMPAK LIQUID PACKAG</t>
  </si>
  <si>
    <t xml:space="preserve">afton               </t>
  </si>
  <si>
    <t xml:space="preserve">J F EQUIPMENT       </t>
  </si>
  <si>
    <t xml:space="preserve">ryan                </t>
  </si>
  <si>
    <t xml:space="preserve">george              </t>
  </si>
  <si>
    <t xml:space="preserve">tertius             </t>
  </si>
  <si>
    <t xml:space="preserve">THE SIMBA GROUP LTD </t>
  </si>
  <si>
    <t xml:space="preserve">miranda             </t>
  </si>
  <si>
    <t xml:space="preserve">keegan              </t>
  </si>
  <si>
    <t>PIONEER FOOD T A ESC</t>
  </si>
  <si>
    <t xml:space="preserve">kush                </t>
  </si>
  <si>
    <t xml:space="preserve">mark                </t>
  </si>
  <si>
    <t>TRANSNET ENGINEERING</t>
  </si>
  <si>
    <t xml:space="preserve">YVONNE              </t>
  </si>
  <si>
    <t>GEO</t>
  </si>
  <si>
    <t>KLEINBOS</t>
  </si>
  <si>
    <t>SWARTLAND BOUDIENSTE</t>
  </si>
  <si>
    <t>13/03/2020</t>
  </si>
  <si>
    <t>Leilani</t>
  </si>
  <si>
    <t xml:space="preserve">mahlatse            </t>
  </si>
  <si>
    <t xml:space="preserve">CHEZA               </t>
  </si>
  <si>
    <t>Vincent</t>
  </si>
  <si>
    <t xml:space="preserve">ANDRIES             </t>
  </si>
  <si>
    <t xml:space="preserve">CHEMADENE           </t>
  </si>
  <si>
    <t xml:space="preserve">BILLY               </t>
  </si>
  <si>
    <t>CONSIGNMENT ACC - NP</t>
  </si>
  <si>
    <t xml:space="preserve">BHEKI               </t>
  </si>
  <si>
    <t>UNIVERSE CORPORATION</t>
  </si>
  <si>
    <t xml:space="preserve">AUBREY              </t>
  </si>
  <si>
    <t xml:space="preserve">stan                </t>
  </si>
  <si>
    <t>UMKOMAAS</t>
  </si>
  <si>
    <t>FONTANA MANUFACTURER</t>
  </si>
  <si>
    <t xml:space="preserve">gwen                </t>
  </si>
  <si>
    <t xml:space="preserve">siphi               </t>
  </si>
  <si>
    <t xml:space="preserve">Welcome             </t>
  </si>
  <si>
    <t xml:space="preserve">TETRA PAK S.A (PTY) </t>
  </si>
  <si>
    <t xml:space="preserve">eunice              </t>
  </si>
  <si>
    <t xml:space="preserve">siphokazi           </t>
  </si>
  <si>
    <t>SCHULLPAK GAUTENG (P</t>
  </si>
  <si>
    <t xml:space="preserve">john                </t>
  </si>
  <si>
    <t>PREMIER FMCG (PTY)LT</t>
  </si>
  <si>
    <t xml:space="preserve">FIKILE              </t>
  </si>
  <si>
    <t xml:space="preserve">prince              </t>
  </si>
  <si>
    <t xml:space="preserve">Silas               </t>
  </si>
  <si>
    <t xml:space="preserve">GOLDFEIL LOGISTICS  </t>
  </si>
  <si>
    <t xml:space="preserve">serisha             </t>
  </si>
  <si>
    <t>FELIXTON</t>
  </si>
  <si>
    <t xml:space="preserve">marinda             </t>
  </si>
  <si>
    <t xml:space="preserve">NEDBANK (NEDFLEET)  </t>
  </si>
  <si>
    <t xml:space="preserve">blessing            </t>
  </si>
  <si>
    <t xml:space="preserve">japie               </t>
  </si>
  <si>
    <t>SUNNY PACKS MANUFACT</t>
  </si>
  <si>
    <t xml:space="preserve">christa             </t>
  </si>
  <si>
    <t>HEAT AND CONTROL (PT</t>
  </si>
  <si>
    <t xml:space="preserve">Chris               </t>
  </si>
  <si>
    <t>ALBANY BAKERIEYS A D</t>
  </si>
  <si>
    <t xml:space="preserve">alicia              </t>
  </si>
  <si>
    <t>ORION INGENIEURSWERK</t>
  </si>
  <si>
    <t xml:space="preserve">Chemore             </t>
  </si>
  <si>
    <t xml:space="preserve">WHIRLPOOL S.A       </t>
  </si>
  <si>
    <t>VRG</t>
  </si>
  <si>
    <t xml:space="preserve">Teboho              </t>
  </si>
  <si>
    <t xml:space="preserve">thon                </t>
  </si>
  <si>
    <t xml:space="preserve">RHODES FOOD GROUP   </t>
  </si>
  <si>
    <t xml:space="preserve">R MITCHELL          </t>
  </si>
  <si>
    <t>HIGH FORCE HYDRAULIC</t>
  </si>
  <si>
    <t xml:space="preserve">Jerome              </t>
  </si>
  <si>
    <t xml:space="preserve">Tommy               </t>
  </si>
  <si>
    <t xml:space="preserve">PHADI               </t>
  </si>
  <si>
    <t xml:space="preserve">Sursh               </t>
  </si>
  <si>
    <t xml:space="preserve">RFES1162740972      </t>
  </si>
  <si>
    <t xml:space="preserve">joseph              </t>
  </si>
  <si>
    <t xml:space="preserve">isaac               </t>
  </si>
  <si>
    <t>DUTTON PLASTICS ENGI</t>
  </si>
  <si>
    <t>FLS TECHNICAL SERVIC</t>
  </si>
  <si>
    <t xml:space="preserve">r camp              </t>
  </si>
  <si>
    <t xml:space="preserve">Mark                </t>
  </si>
  <si>
    <t>Oupa</t>
  </si>
  <si>
    <t>3RD PARTY DELIVERY</t>
  </si>
  <si>
    <t xml:space="preserve">Peter r             </t>
  </si>
  <si>
    <t xml:space="preserve">mabunda             </t>
  </si>
  <si>
    <t>SEDIBENG COLLEGE FOR</t>
  </si>
  <si>
    <t xml:space="preserve">MALEBO              </t>
  </si>
  <si>
    <t>ATC INNOVATION (PTY)</t>
  </si>
  <si>
    <t xml:space="preserve">Bridgette           </t>
  </si>
  <si>
    <t>MARTIN   MARTIN (PTY</t>
  </si>
  <si>
    <t xml:space="preserve">pamela              </t>
  </si>
  <si>
    <t xml:space="preserve">roux                </t>
  </si>
  <si>
    <t>ELDERWOOD TRADING CC</t>
  </si>
  <si>
    <t xml:space="preserve">cia                 </t>
  </si>
  <si>
    <t xml:space="preserve">langa               </t>
  </si>
  <si>
    <t>TURNCO ENGINEERING C</t>
  </si>
  <si>
    <t xml:space="preserve">pheliswa            </t>
  </si>
  <si>
    <t>STE</t>
  </si>
  <si>
    <t xml:space="preserve">rossco              </t>
  </si>
  <si>
    <t xml:space="preserve"> PIETER</t>
  </si>
  <si>
    <t xml:space="preserve">Tom                 </t>
  </si>
  <si>
    <t xml:space="preserve">SANDISILE           </t>
  </si>
  <si>
    <t xml:space="preserve"> RCL FOODS CONSUMER PTY</t>
  </si>
  <si>
    <t xml:space="preserve"> nu                 </t>
  </si>
  <si>
    <t xml:space="preserve">DOW SOUTHERN AFRICA </t>
  </si>
  <si>
    <t xml:space="preserve">d vejian            </t>
  </si>
  <si>
    <t xml:space="preserve">ASH RESOURCES       </t>
  </si>
  <si>
    <t>William</t>
  </si>
  <si>
    <t>COMPANY CLOSED (12/03/2020)</t>
  </si>
  <si>
    <t>ANG INDUSTRIAL SOLUT</t>
  </si>
  <si>
    <t xml:space="preserve">Emmanuel            </t>
  </si>
  <si>
    <t>KR COMPONENTS SA (PT</t>
  </si>
  <si>
    <t>UNILEVER S.A (PTY)LT</t>
  </si>
  <si>
    <t xml:space="preserve">Elias               </t>
  </si>
  <si>
    <t xml:space="preserve">wayne               </t>
  </si>
  <si>
    <t xml:space="preserve">KOLOR WORLD         </t>
  </si>
  <si>
    <t xml:space="preserve">priyal              </t>
  </si>
  <si>
    <t xml:space="preserve">Trevor              </t>
  </si>
  <si>
    <t xml:space="preserve">ALPHA HYDRAULICS    </t>
  </si>
  <si>
    <t xml:space="preserve">ammy                </t>
  </si>
  <si>
    <t xml:space="preserve">LION MATCH PRODUCTS </t>
  </si>
  <si>
    <t xml:space="preserve">m isaac             </t>
  </si>
  <si>
    <t xml:space="preserve">Andres              </t>
  </si>
  <si>
    <t xml:space="preserve">Bosal Afrika Pty    </t>
  </si>
  <si>
    <t xml:space="preserve">sheril              </t>
  </si>
  <si>
    <t>GRW ENGINERING</t>
  </si>
  <si>
    <t>BEVCAN A DIV OF NAMP</t>
  </si>
  <si>
    <t xml:space="preserve">Busisiwe            </t>
  </si>
  <si>
    <t>A P L  CARTONS  PTY  LTD</t>
  </si>
  <si>
    <t xml:space="preserve">nomvula             </t>
  </si>
  <si>
    <t xml:space="preserve">PAIL PAC PTY LTD    </t>
  </si>
  <si>
    <t xml:space="preserve">PLASTIC OMNIUM AUTO </t>
  </si>
  <si>
    <t xml:space="preserve">selby               </t>
  </si>
  <si>
    <t>Incorrect product</t>
  </si>
  <si>
    <t xml:space="preserve">Jones               </t>
  </si>
  <si>
    <t xml:space="preserve">cara                </t>
  </si>
  <si>
    <t xml:space="preserve">GEORGE              </t>
  </si>
  <si>
    <t xml:space="preserve">japta               </t>
  </si>
  <si>
    <t xml:space="preserve">NAMPAK GLASS        </t>
  </si>
  <si>
    <t xml:space="preserve">Tholantu            </t>
  </si>
  <si>
    <t>CSIR CENTRAL PROCURE</t>
  </si>
  <si>
    <t xml:space="preserve">Boitumelo           </t>
  </si>
  <si>
    <t xml:space="preserve">AIR PRODUCTS        </t>
  </si>
  <si>
    <t xml:space="preserve">nicky               </t>
  </si>
  <si>
    <t xml:space="preserve">Audrey              </t>
  </si>
  <si>
    <t>R   D GROUP INVESTME</t>
  </si>
  <si>
    <t xml:space="preserve">joan short          </t>
  </si>
  <si>
    <t>NELSON MANDELA METRO</t>
  </si>
  <si>
    <t xml:space="preserve">BARNARD             </t>
  </si>
  <si>
    <t xml:space="preserve">lunga               </t>
  </si>
  <si>
    <t>PRETORIA METAL PRESS</t>
  </si>
  <si>
    <t xml:space="preserve">Andries             </t>
  </si>
  <si>
    <t>SAPPI S.A LIMITED DE</t>
  </si>
  <si>
    <t xml:space="preserve">ENTYCE BEVERAGES    </t>
  </si>
  <si>
    <t xml:space="preserve">Mohammed            </t>
  </si>
  <si>
    <t xml:space="preserve">Mpumzi              </t>
  </si>
  <si>
    <t xml:space="preserve">GORGE               </t>
  </si>
  <si>
    <t>PIONEER FOODS GROCER</t>
  </si>
  <si>
    <t xml:space="preserve">Ephraim             </t>
  </si>
  <si>
    <t xml:space="preserve">katlego             </t>
  </si>
  <si>
    <t>FRANKFORT</t>
  </si>
  <si>
    <t>CLOVER S.A (PTY) LTD</t>
  </si>
  <si>
    <t xml:space="preserve">ELIAS               </t>
  </si>
  <si>
    <t xml:space="preserve">SELINA              </t>
  </si>
  <si>
    <t>PATERSON HUGHES ENGI</t>
  </si>
  <si>
    <t xml:space="preserve">sbu                 </t>
  </si>
  <si>
    <t xml:space="preserve">ALUVIN SECURISEAL   </t>
  </si>
  <si>
    <t>PETRO SA CENTRAL PLA</t>
  </si>
  <si>
    <t>AUTOMA MULTI STYRENE</t>
  </si>
  <si>
    <t xml:space="preserve">Jeanette            </t>
  </si>
  <si>
    <t>COLLABORATIVE PACKIN</t>
  </si>
  <si>
    <t xml:space="preserve">Ruth                </t>
  </si>
  <si>
    <t xml:space="preserve"> morne</t>
  </si>
  <si>
    <t xml:space="preserve">S.A. MINT           </t>
  </si>
  <si>
    <t xml:space="preserve">jacob               </t>
  </si>
  <si>
    <t>KROMBERG   SCHUBERT(</t>
  </si>
  <si>
    <t xml:space="preserve">colin               </t>
  </si>
  <si>
    <t>CBI ELECTRIC TELECOM</t>
  </si>
  <si>
    <t xml:space="preserve">NEVEN MATTHEWS      </t>
  </si>
  <si>
    <t xml:space="preserve">stephen             </t>
  </si>
  <si>
    <t xml:space="preserve">PATRICK             </t>
  </si>
  <si>
    <t>RCL FOODS CONSUMER PTY</t>
  </si>
  <si>
    <t xml:space="preserve">nephter             </t>
  </si>
  <si>
    <t xml:space="preserve">reshik              </t>
  </si>
  <si>
    <t xml:space="preserve">sh nkwanyana        </t>
  </si>
  <si>
    <t xml:space="preserve">AFRISAM SA          </t>
  </si>
  <si>
    <t xml:space="preserve">David               </t>
  </si>
  <si>
    <t>TENNECO EMISSION CON</t>
  </si>
  <si>
    <t xml:space="preserve">molly               </t>
  </si>
  <si>
    <t xml:space="preserve">JANDRE              </t>
  </si>
  <si>
    <t xml:space="preserve">CODU                </t>
  </si>
  <si>
    <t xml:space="preserve">SHELDON             </t>
  </si>
  <si>
    <t>IMANA FOODS SA (PTY)</t>
  </si>
  <si>
    <t xml:space="preserve">thokozani           </t>
  </si>
  <si>
    <t xml:space="preserve">BREWBEV             </t>
  </si>
  <si>
    <t xml:space="preserve">constance           </t>
  </si>
  <si>
    <t>BIO CAPSULE PHARMACE</t>
  </si>
  <si>
    <t xml:space="preserve">brad                </t>
  </si>
  <si>
    <t xml:space="preserve">Sanjay              </t>
  </si>
  <si>
    <t>CHET CHEMICALS A DIV</t>
  </si>
  <si>
    <t xml:space="preserve">Joel                </t>
  </si>
  <si>
    <t xml:space="preserve">HENDLER   HART      </t>
  </si>
  <si>
    <t>M   C BEARINGS   TRA</t>
  </si>
  <si>
    <t xml:space="preserve">Priscilla           </t>
  </si>
  <si>
    <t xml:space="preserve">kiawat              </t>
  </si>
  <si>
    <t xml:space="preserve">MANDY               </t>
  </si>
  <si>
    <t xml:space="preserve">THE SIMBA GROUP     </t>
  </si>
  <si>
    <t xml:space="preserve">Sifiso              </t>
  </si>
  <si>
    <t xml:space="preserve">sibiya              </t>
  </si>
  <si>
    <t xml:space="preserve">Ziyaad              </t>
  </si>
  <si>
    <t>ANDERSON ENGINEERING</t>
  </si>
  <si>
    <t xml:space="preserve">Rejoice             </t>
  </si>
  <si>
    <t xml:space="preserve">Maluxole            </t>
  </si>
  <si>
    <t xml:space="preserve">FESTO PE            </t>
  </si>
  <si>
    <t xml:space="preserve">berdus              </t>
  </si>
  <si>
    <t xml:space="preserve">CLOVER SA (PTY)LTD  </t>
  </si>
  <si>
    <t xml:space="preserve">TEBOHO              </t>
  </si>
  <si>
    <t xml:space="preserve">JANINE              </t>
  </si>
  <si>
    <t xml:space="preserve">PAM                 </t>
  </si>
  <si>
    <t xml:space="preserve">Lincoln             </t>
  </si>
  <si>
    <t>UNIQUE HYDRA (PTY)LT</t>
  </si>
  <si>
    <t xml:space="preserve">shehaam             </t>
  </si>
  <si>
    <t xml:space="preserve">KAREN               </t>
  </si>
  <si>
    <t xml:space="preserve">B EMMA              </t>
  </si>
  <si>
    <t xml:space="preserve">ELECTRAHERTZ        </t>
  </si>
  <si>
    <t xml:space="preserve">abram               </t>
  </si>
  <si>
    <t xml:space="preserve">WALKER              </t>
  </si>
  <si>
    <t xml:space="preserve">ULRICH              </t>
  </si>
  <si>
    <t>Stephen</t>
  </si>
  <si>
    <t>James</t>
  </si>
  <si>
    <t xml:space="preserve">GARY                </t>
  </si>
  <si>
    <t xml:space="preserve">ITHEMBA LABS        </t>
  </si>
  <si>
    <t xml:space="preserve">DANIE               </t>
  </si>
  <si>
    <t>HUMANSDORP</t>
  </si>
  <si>
    <t>WOODLANDS RESOURCE R</t>
  </si>
  <si>
    <t>ETTIENE</t>
  </si>
  <si>
    <t xml:space="preserve">skylone             </t>
  </si>
  <si>
    <t xml:space="preserve">HEGAN               </t>
  </si>
  <si>
    <t xml:space="preserve">MARTIN              </t>
  </si>
  <si>
    <t>NALEDI RINGROLLERS P</t>
  </si>
  <si>
    <t xml:space="preserve">Renchia             </t>
  </si>
  <si>
    <t xml:space="preserve">LIESL               </t>
  </si>
  <si>
    <t xml:space="preserve">johanne             </t>
  </si>
  <si>
    <t xml:space="preserve">graydon             </t>
  </si>
  <si>
    <t xml:space="preserve">FLOYD               </t>
  </si>
  <si>
    <t>14/03/2020</t>
  </si>
  <si>
    <t>MCCAIN FOOD SOUTH AF</t>
  </si>
  <si>
    <t xml:space="preserve">DAPHNEY             </t>
  </si>
  <si>
    <t xml:space="preserve">T E M TOOLING CC    </t>
  </si>
  <si>
    <t xml:space="preserve">Shaune              </t>
  </si>
  <si>
    <t xml:space="preserve">mguni               </t>
  </si>
  <si>
    <t xml:space="preserve">P VIVIERS           </t>
  </si>
  <si>
    <t>ALFRED TEVES BRAKE S</t>
  </si>
  <si>
    <t xml:space="preserve">DIALES              </t>
  </si>
  <si>
    <t xml:space="preserve"> Bakker</t>
  </si>
  <si>
    <t xml:space="preserve">amanda              </t>
  </si>
  <si>
    <t>GENERAL PNEUMATICS N</t>
  </si>
  <si>
    <t xml:space="preserve">bongani             </t>
  </si>
  <si>
    <t xml:space="preserve">Cidney              </t>
  </si>
  <si>
    <t>PREMIER CAPE TOWN WH</t>
  </si>
  <si>
    <t xml:space="preserve">D ACHMAT            </t>
  </si>
  <si>
    <t>OUT ON DELIVERY TO DAY 16/03/2020</t>
  </si>
  <si>
    <t xml:space="preserve">MARCE FIRE FIGHTING </t>
  </si>
  <si>
    <t xml:space="preserve">FANNY               </t>
  </si>
  <si>
    <t xml:space="preserve">jane                </t>
  </si>
  <si>
    <t xml:space="preserve">NATALIE             </t>
  </si>
  <si>
    <t xml:space="preserve">MAHLATSE            </t>
  </si>
  <si>
    <t xml:space="preserve">Robyn               </t>
  </si>
  <si>
    <t xml:space="preserve">BRADCHER INDUSTRIAL </t>
  </si>
  <si>
    <t xml:space="preserve">CHERCE              </t>
  </si>
  <si>
    <t xml:space="preserve">THABANG             </t>
  </si>
  <si>
    <t>RYMCO PTY LTD T A AN</t>
  </si>
  <si>
    <t xml:space="preserve">Khuthadzo           </t>
  </si>
  <si>
    <t>AUSTRO (PROPIETY LTD</t>
  </si>
  <si>
    <t xml:space="preserve">lisha               </t>
  </si>
  <si>
    <t xml:space="preserve">ACTOM MV SWITCHGEAR </t>
  </si>
  <si>
    <t xml:space="preserve">FRANCINA            </t>
  </si>
  <si>
    <t>B.R.C MESH REINFORCI</t>
  </si>
  <si>
    <t xml:space="preserve">Mirriam             </t>
  </si>
  <si>
    <t>SCHAEFFLER SOUTH AFR</t>
  </si>
  <si>
    <t xml:space="preserve">daniels             </t>
  </si>
  <si>
    <t xml:space="preserve">oupa                </t>
  </si>
  <si>
    <t xml:space="preserve">ruben               </t>
  </si>
  <si>
    <t>Company closed</t>
  </si>
  <si>
    <t xml:space="preserve">m pamla             </t>
  </si>
  <si>
    <t>hopewell</t>
  </si>
  <si>
    <t>PRIME INSTRUMENTATIO</t>
  </si>
  <si>
    <t xml:space="preserve">NEO TLHAKUDI        </t>
  </si>
  <si>
    <t xml:space="preserve">eleaner             </t>
  </si>
  <si>
    <t xml:space="preserve">monique             </t>
  </si>
  <si>
    <t>ROSHNI</t>
  </si>
  <si>
    <t>VOESTALPINE STAMPTEC</t>
  </si>
  <si>
    <t xml:space="preserve">Sibysiso            </t>
  </si>
  <si>
    <t xml:space="preserve">BRIDGETTE           </t>
  </si>
  <si>
    <t xml:space="preserve">NKOSINATHI          </t>
  </si>
  <si>
    <t xml:space="preserve">ENGELA              </t>
  </si>
  <si>
    <t xml:space="preserve">SHARON              </t>
  </si>
  <si>
    <t xml:space="preserve">frank               </t>
  </si>
  <si>
    <t xml:space="preserve">NICOLETTE           </t>
  </si>
  <si>
    <t xml:space="preserve">Charmaine           </t>
  </si>
  <si>
    <t>zobby</t>
  </si>
  <si>
    <t xml:space="preserve">derek               </t>
  </si>
  <si>
    <t xml:space="preserve">ZAHID               </t>
  </si>
  <si>
    <t xml:space="preserve">JUSTIN              </t>
  </si>
  <si>
    <t xml:space="preserve">GENI                </t>
  </si>
  <si>
    <t>BANDINI CHEESE PTY L</t>
  </si>
  <si>
    <t xml:space="preserve">PAULINA             </t>
  </si>
  <si>
    <t>MAIN STREET 1310(PTY</t>
  </si>
  <si>
    <t>NATIONAL BRANDS LIMI</t>
  </si>
  <si>
    <t xml:space="preserve">GRACE               </t>
  </si>
  <si>
    <t xml:space="preserve">THANDI              </t>
  </si>
  <si>
    <t>NLP</t>
  </si>
  <si>
    <t>WHITE RIVER</t>
  </si>
  <si>
    <t>INGWE AUTOMATION SAL</t>
  </si>
  <si>
    <t xml:space="preserve">MORRIS              </t>
  </si>
  <si>
    <t xml:space="preserve">SAMSON M            </t>
  </si>
  <si>
    <t>MDW PNEUMATIC TRADIN</t>
  </si>
  <si>
    <t xml:space="preserve">christina           </t>
  </si>
  <si>
    <t xml:space="preserve">DANI                </t>
  </si>
  <si>
    <t>BARNES REINFORCING I</t>
  </si>
  <si>
    <t xml:space="preserve">Lindelani           </t>
  </si>
  <si>
    <t xml:space="preserve">POLYOAK PACKAGING   </t>
  </si>
  <si>
    <t xml:space="preserve">Jacques             </t>
  </si>
  <si>
    <t>NORTH STAR INDUSTRIA</t>
  </si>
  <si>
    <t xml:space="preserve">SESI                </t>
  </si>
  <si>
    <t xml:space="preserve">NEOPAK PTY LTD      </t>
  </si>
  <si>
    <t xml:space="preserve">fortune             </t>
  </si>
  <si>
    <t xml:space="preserve">DIALE               </t>
  </si>
  <si>
    <t xml:space="preserve">ALFREY              </t>
  </si>
  <si>
    <t xml:space="preserve">AFRISAM SA PTY LTD  </t>
  </si>
  <si>
    <t xml:space="preserve">Den Den             </t>
  </si>
  <si>
    <t xml:space="preserve">m  fontana          </t>
  </si>
  <si>
    <t xml:space="preserve">larpie              </t>
  </si>
  <si>
    <t>RCL FOODS SUGAR   MI</t>
  </si>
  <si>
    <t>sibusisi</t>
  </si>
  <si>
    <t xml:space="preserve">NIRANDA             </t>
  </si>
  <si>
    <t>LEAR SEWING (PTY)LTD</t>
  </si>
  <si>
    <t xml:space="preserve">josh                </t>
  </si>
  <si>
    <t xml:space="preserve">Nivesh              </t>
  </si>
  <si>
    <t>GEDORE TOOLS (PTY) L</t>
  </si>
  <si>
    <t xml:space="preserve">kevin               </t>
  </si>
  <si>
    <t xml:space="preserve">FLOMECH CC          </t>
  </si>
  <si>
    <t xml:space="preserve">CLEOPATRA           </t>
  </si>
  <si>
    <t>SOUTH AFRICAN BANK N</t>
  </si>
  <si>
    <t>Bongani</t>
  </si>
  <si>
    <t>HERSOL MANUFACTURING</t>
  </si>
  <si>
    <t xml:space="preserve">BETTY               </t>
  </si>
  <si>
    <t xml:space="preserve">tumelo              </t>
  </si>
  <si>
    <t>JARVIS PRODUCTS CORP</t>
  </si>
  <si>
    <t xml:space="preserve">LAURENS             </t>
  </si>
  <si>
    <t xml:space="preserve">WILLIAM             </t>
  </si>
  <si>
    <t>ERA STENE   ROSEMA B</t>
  </si>
  <si>
    <t xml:space="preserve">tshegofatso         </t>
  </si>
  <si>
    <t xml:space="preserve">ENELA               </t>
  </si>
  <si>
    <t xml:space="preserve">ELPACK WORKSHOP     </t>
  </si>
  <si>
    <t xml:space="preserve">BEN                 </t>
  </si>
  <si>
    <t xml:space="preserve">ARNOLD              </t>
  </si>
  <si>
    <t>John</t>
  </si>
  <si>
    <t xml:space="preserve">ndumiso             </t>
  </si>
  <si>
    <t xml:space="preserve">jeanette            </t>
  </si>
  <si>
    <t xml:space="preserve">BRIGGEMAN MATERIAL  </t>
  </si>
  <si>
    <t xml:space="preserve">THEO                </t>
  </si>
  <si>
    <t xml:space="preserve">NARROWTEX PTY LTD   </t>
  </si>
  <si>
    <t xml:space="preserve">Siba                </t>
  </si>
  <si>
    <t>ABRAM</t>
  </si>
  <si>
    <t>16/03/2020</t>
  </si>
  <si>
    <t xml:space="preserve">WERNER              </t>
  </si>
  <si>
    <t xml:space="preserve">R S SARDA           </t>
  </si>
  <si>
    <t xml:space="preserve">ETTHIENE            </t>
  </si>
  <si>
    <t xml:space="preserve">danny               </t>
  </si>
  <si>
    <t xml:space="preserve">FUSE - A - TRON CC  </t>
  </si>
  <si>
    <t xml:space="preserve">michael             </t>
  </si>
  <si>
    <t>FAURECIA EXHAUST SYS</t>
  </si>
  <si>
    <t xml:space="preserve">l noneru            </t>
  </si>
  <si>
    <t xml:space="preserve">Dzalo               </t>
  </si>
  <si>
    <t xml:space="preserve">MYKAS PLASTICS CC   </t>
  </si>
  <si>
    <t xml:space="preserve">CHRISTIAN           </t>
  </si>
  <si>
    <t xml:space="preserve">WD POWER            </t>
  </si>
  <si>
    <t xml:space="preserve">BENEDICT            </t>
  </si>
  <si>
    <t xml:space="preserve">Dollas              </t>
  </si>
  <si>
    <t>COPPER TUBING AFRICA</t>
  </si>
  <si>
    <t xml:space="preserve">jerome              </t>
  </si>
  <si>
    <t xml:space="preserve">Wayne               </t>
  </si>
  <si>
    <t xml:space="preserve">PAARL PNEUMATICS CC </t>
  </si>
  <si>
    <t xml:space="preserve">randall             </t>
  </si>
  <si>
    <t xml:space="preserve"> Vincent</t>
  </si>
  <si>
    <t xml:space="preserve">lewlyn              </t>
  </si>
  <si>
    <t xml:space="preserve">rajeshnee           </t>
  </si>
  <si>
    <t xml:space="preserve">Martin              </t>
  </si>
  <si>
    <t>GANDHI TRADING ENTER</t>
  </si>
  <si>
    <t xml:space="preserve">Randall             </t>
  </si>
  <si>
    <t>SIBUSBISO</t>
  </si>
  <si>
    <t xml:space="preserve">BRANDLINE PACKAGING </t>
  </si>
  <si>
    <t xml:space="preserve">lthembiso           </t>
  </si>
  <si>
    <t>FLOWSERVE SA PTY LTD</t>
  </si>
  <si>
    <t xml:space="preserve">G.U.D HOLDINGS      </t>
  </si>
  <si>
    <t xml:space="preserve">annitha             </t>
  </si>
  <si>
    <t xml:space="preserve">ETTIENE             </t>
  </si>
  <si>
    <t xml:space="preserve">BLAIZEPOINT TRADING </t>
  </si>
  <si>
    <t xml:space="preserve">TOMMY               </t>
  </si>
  <si>
    <t>FAURECIA EMISSIONS C</t>
  </si>
  <si>
    <t xml:space="preserve">siphelele           </t>
  </si>
  <si>
    <t xml:space="preserve">Ronnie              </t>
  </si>
  <si>
    <t xml:space="preserve">micheal             </t>
  </si>
  <si>
    <t xml:space="preserve"> G R W ENGINEERING PTY LTD</t>
  </si>
  <si>
    <t xml:space="preserve">MECHANICAL CONCEPTS </t>
  </si>
  <si>
    <t>ELEMENT SIX PRODUCTI</t>
  </si>
  <si>
    <t xml:space="preserve">paulos              </t>
  </si>
  <si>
    <t xml:space="preserve">LEE-ANN             </t>
  </si>
  <si>
    <t xml:space="preserve">Moses               </t>
  </si>
  <si>
    <t>ACO SYSTEMS (PTY)LTD</t>
  </si>
  <si>
    <t xml:space="preserve">Arno                </t>
  </si>
  <si>
    <t xml:space="preserve">neo                 </t>
  </si>
  <si>
    <t xml:space="preserve">NEVILLE CAMAY CC    </t>
  </si>
  <si>
    <t xml:space="preserve">timothy             </t>
  </si>
  <si>
    <t>COCA -COLA BEVERAGES</t>
  </si>
  <si>
    <t xml:space="preserve">ABISAI              </t>
  </si>
  <si>
    <t xml:space="preserve">Surprise            </t>
  </si>
  <si>
    <t xml:space="preserve">dube                </t>
  </si>
  <si>
    <t xml:space="preserve">dickson             </t>
  </si>
  <si>
    <t>AMPAGLAS PLASTICS GR</t>
  </si>
  <si>
    <t xml:space="preserve">LUNGI               </t>
  </si>
  <si>
    <t>IMP TECHNICAL SERVIC</t>
  </si>
  <si>
    <t>matchaba</t>
  </si>
  <si>
    <t>VEES AUTOMATIVE PIPE</t>
  </si>
  <si>
    <t xml:space="preserve">RICHARD             </t>
  </si>
  <si>
    <t xml:space="preserve">ajit                </t>
  </si>
  <si>
    <t>CALDEIRA ENGENEERING</t>
  </si>
  <si>
    <t xml:space="preserve">VIOLET              </t>
  </si>
  <si>
    <t xml:space="preserve">A C PNEUMATICS      </t>
  </si>
  <si>
    <t xml:space="preserve">Brian               </t>
  </si>
  <si>
    <t>SPEC TOOL   DIE   GE</t>
  </si>
  <si>
    <t xml:space="preserve">Jessica             </t>
  </si>
  <si>
    <t xml:space="preserve">aipho               </t>
  </si>
  <si>
    <t xml:space="preserve">Thembela            </t>
  </si>
  <si>
    <t xml:space="preserve">amy                 </t>
  </si>
  <si>
    <t xml:space="preserve">cindy               </t>
  </si>
  <si>
    <t xml:space="preserve">COCA COLA LAKESIDE  </t>
  </si>
  <si>
    <t xml:space="preserve">Psemahle            </t>
  </si>
  <si>
    <t xml:space="preserve">LEAR ELECTRICAL     </t>
  </si>
  <si>
    <t>FRONERI SOUTH AFRICA</t>
  </si>
  <si>
    <t xml:space="preserve">rudzani             </t>
  </si>
  <si>
    <t xml:space="preserve">SEAN                </t>
  </si>
  <si>
    <t>KW BREAD PACKAGING S</t>
  </si>
  <si>
    <t xml:space="preserve">donald              </t>
  </si>
  <si>
    <t xml:space="preserve">mun                 </t>
  </si>
  <si>
    <t>ID CONTROL SOLUTIONS</t>
  </si>
  <si>
    <t xml:space="preserve">CARL MARTIN         </t>
  </si>
  <si>
    <t xml:space="preserve">thulani             </t>
  </si>
  <si>
    <t xml:space="preserve">qondi               </t>
  </si>
  <si>
    <t>ON2</t>
  </si>
  <si>
    <t xml:space="preserve">FESTO-P E           </t>
  </si>
  <si>
    <t xml:space="preserve">JOHAN               </t>
  </si>
  <si>
    <t>17/03/2020</t>
  </si>
  <si>
    <t xml:space="preserve">MINOVA              </t>
  </si>
  <si>
    <t xml:space="preserve">OUPA                </t>
  </si>
  <si>
    <t xml:space="preserve">thabang             </t>
  </si>
  <si>
    <t xml:space="preserve">sthembiso           </t>
  </si>
  <si>
    <t>UNKNOWN</t>
  </si>
  <si>
    <t>18/03/2020</t>
  </si>
  <si>
    <t>16::2</t>
  </si>
  <si>
    <t xml:space="preserve">yolandi             </t>
  </si>
  <si>
    <t xml:space="preserve">saban               </t>
  </si>
  <si>
    <t xml:space="preserve">Mariska             </t>
  </si>
  <si>
    <t xml:space="preserve">marika              </t>
  </si>
  <si>
    <t xml:space="preserve">teboho              </t>
  </si>
  <si>
    <t xml:space="preserve">GRANROTH (PTY)LTD   </t>
  </si>
  <si>
    <t xml:space="preserve">katia               </t>
  </si>
  <si>
    <t xml:space="preserve">OUTSTANDING POD </t>
  </si>
  <si>
    <t xml:space="preserve">GAYATRI PAPER MILLS </t>
  </si>
  <si>
    <t xml:space="preserve">bright              </t>
  </si>
  <si>
    <t xml:space="preserve">chris               </t>
  </si>
  <si>
    <t xml:space="preserve">kurt                </t>
  </si>
  <si>
    <t>MZIMASI</t>
  </si>
  <si>
    <t>3rd party to delivere</t>
  </si>
  <si>
    <t xml:space="preserve">frochelle           </t>
  </si>
  <si>
    <t xml:space="preserve">NGOLOVAN CC         </t>
  </si>
  <si>
    <t xml:space="preserve">suzy                </t>
  </si>
  <si>
    <t xml:space="preserve">philani             </t>
  </si>
  <si>
    <t xml:space="preserve">Verona              </t>
  </si>
  <si>
    <t xml:space="preserve">NDUMISO             </t>
  </si>
  <si>
    <t xml:space="preserve">bathobile           </t>
  </si>
  <si>
    <t xml:space="preserve">RHEEM SA PTY LTD    </t>
  </si>
  <si>
    <t xml:space="preserve">Rinalia             </t>
  </si>
  <si>
    <t xml:space="preserve">NA Khuzwayo         </t>
  </si>
  <si>
    <t xml:space="preserve">Z C Cele            </t>
  </si>
  <si>
    <t>UMBOGINTWINI</t>
  </si>
  <si>
    <t xml:space="preserve">RYMCO PTY LTD ACHOR </t>
  </si>
  <si>
    <t xml:space="preserve">dhashen             </t>
  </si>
  <si>
    <t xml:space="preserve">girlie myeza        </t>
  </si>
  <si>
    <t xml:space="preserve">nomvuso             </t>
  </si>
  <si>
    <t xml:space="preserve">anele               </t>
  </si>
  <si>
    <t>ALL ROUND ENGINEERIN</t>
  </si>
  <si>
    <t>SUNNY MACHINES MANUF</t>
  </si>
  <si>
    <t xml:space="preserve">bessie              </t>
  </si>
  <si>
    <t>MISTER SWEET PTY LTD</t>
  </si>
  <si>
    <t xml:space="preserve">BRENDAN             </t>
  </si>
  <si>
    <t>OVER ARFICA INDUSTRI</t>
  </si>
  <si>
    <t xml:space="preserve">K EDWARDS           </t>
  </si>
  <si>
    <t>INTEGRATED CONVOLY P</t>
  </si>
  <si>
    <t xml:space="preserve">thabo               </t>
  </si>
  <si>
    <t xml:space="preserve">Afred               </t>
  </si>
  <si>
    <t xml:space="preserve">freeman             </t>
  </si>
  <si>
    <t>PAMODZI UNIQUE ENGIN</t>
  </si>
  <si>
    <t xml:space="preserve">nunu                </t>
  </si>
  <si>
    <t xml:space="preserve">alfred              </t>
  </si>
  <si>
    <t xml:space="preserve">alan                </t>
  </si>
  <si>
    <t>THYSSENKRUPP SOUTH A</t>
  </si>
  <si>
    <t xml:space="preserve">Seipati             </t>
  </si>
  <si>
    <t xml:space="preserve">Gerald              </t>
  </si>
  <si>
    <t xml:space="preserve">Roshni              </t>
  </si>
  <si>
    <t>SAPPI GLOBAL BUSINES</t>
  </si>
  <si>
    <t xml:space="preserve">fisani              </t>
  </si>
  <si>
    <t xml:space="preserve">SAMMY               </t>
  </si>
  <si>
    <t xml:space="preserve">sbogiseni           </t>
  </si>
  <si>
    <t xml:space="preserve">MILLECENT           </t>
  </si>
  <si>
    <t xml:space="preserve">Mzwakhe             </t>
  </si>
  <si>
    <t xml:space="preserve">thandie             </t>
  </si>
  <si>
    <t xml:space="preserve">lindy               </t>
  </si>
  <si>
    <t xml:space="preserve">Noel                </t>
  </si>
  <si>
    <t xml:space="preserve">neil                </t>
  </si>
  <si>
    <t xml:space="preserve">BROADWAY SWEETS     </t>
  </si>
  <si>
    <t xml:space="preserve">JAMES               </t>
  </si>
  <si>
    <t xml:space="preserve">thompson            </t>
  </si>
  <si>
    <t xml:space="preserve">WOODLANDS DAIRY PTY </t>
  </si>
  <si>
    <t xml:space="preserve">ettiene             </t>
  </si>
  <si>
    <t xml:space="preserve">merlin              </t>
  </si>
  <si>
    <t xml:space="preserve">DANESH PILLAY       </t>
  </si>
  <si>
    <t xml:space="preserve">vincent             </t>
  </si>
  <si>
    <t xml:space="preserve">Dean                </t>
  </si>
  <si>
    <t xml:space="preserve">Fischer Tube Ec Pty </t>
  </si>
  <si>
    <t xml:space="preserve">Lizl                </t>
  </si>
  <si>
    <t xml:space="preserve">Rickey              </t>
  </si>
  <si>
    <t xml:space="preserve">GREENFIEDS          </t>
  </si>
  <si>
    <t xml:space="preserve">Toy                 </t>
  </si>
  <si>
    <t xml:space="preserve">maeda               </t>
  </si>
  <si>
    <t xml:space="preserve">Aston               </t>
  </si>
  <si>
    <t xml:space="preserve">fewize              </t>
  </si>
  <si>
    <t xml:space="preserve">ronel               </t>
  </si>
  <si>
    <t xml:space="preserve">Botha               </t>
  </si>
  <si>
    <t xml:space="preserve">ZELDA               </t>
  </si>
  <si>
    <t xml:space="preserve">ERVE                </t>
  </si>
  <si>
    <t xml:space="preserve">january             </t>
  </si>
  <si>
    <t xml:space="preserve">WILANDI             </t>
  </si>
  <si>
    <t>MULTI-WEIGH TECHNOLO</t>
  </si>
  <si>
    <t xml:space="preserve">verster             </t>
  </si>
  <si>
    <t>Bad address</t>
  </si>
  <si>
    <t xml:space="preserve">kerusha             </t>
  </si>
  <si>
    <t xml:space="preserve">Zizipho             </t>
  </si>
  <si>
    <t xml:space="preserve">Sthembiso           </t>
  </si>
  <si>
    <t>CB PNEUMATICS PTY LT</t>
  </si>
  <si>
    <t xml:space="preserve">Thandi              </t>
  </si>
  <si>
    <t xml:space="preserve">PREMIER FOODS LTD   </t>
  </si>
  <si>
    <t xml:space="preserve">PHILILE             </t>
  </si>
  <si>
    <t xml:space="preserve">G Kruger            </t>
  </si>
  <si>
    <t>STILFONTEIN</t>
  </si>
  <si>
    <t xml:space="preserve">Edwin               </t>
  </si>
  <si>
    <t xml:space="preserve">CORNING PRODUCTS    </t>
  </si>
  <si>
    <t xml:space="preserve">siya                </t>
  </si>
  <si>
    <t xml:space="preserve">Mzukile             </t>
  </si>
  <si>
    <t xml:space="preserve">Buyile              </t>
  </si>
  <si>
    <t xml:space="preserve">Shaajur             </t>
  </si>
  <si>
    <t xml:space="preserve">JEPHREY             </t>
  </si>
  <si>
    <t xml:space="preserve">Garth               </t>
  </si>
  <si>
    <t xml:space="preserve">Candice             </t>
  </si>
  <si>
    <t xml:space="preserve">PREMIER INDUSTERIAL </t>
  </si>
  <si>
    <t xml:space="preserve">H vd Merwe          </t>
  </si>
  <si>
    <t xml:space="preserve">Shaakur             </t>
  </si>
  <si>
    <t>SAJ COMPETENCY TRADI</t>
  </si>
  <si>
    <t xml:space="preserve">Happiness           </t>
  </si>
  <si>
    <t xml:space="preserve">Ronaldo             </t>
  </si>
  <si>
    <t>DEFY APPLIANCES (PTY</t>
  </si>
  <si>
    <t>MISSQ S MADELA</t>
  </si>
  <si>
    <t xml:space="preserve">Varethie            </t>
  </si>
  <si>
    <t xml:space="preserve">pravin              </t>
  </si>
  <si>
    <t xml:space="preserve">lewwlly             </t>
  </si>
  <si>
    <t xml:space="preserve">neetesh             </t>
  </si>
  <si>
    <t xml:space="preserve">SLADE               </t>
  </si>
  <si>
    <t xml:space="preserve">hyron               </t>
  </si>
  <si>
    <t>FAURECIA INTERIONR S</t>
  </si>
  <si>
    <t xml:space="preserve">HEINRICH            </t>
  </si>
  <si>
    <t xml:space="preserve">chelsea             </t>
  </si>
  <si>
    <t xml:space="preserve">ERECH ROOS          </t>
  </si>
  <si>
    <t xml:space="preserve">E Koos              </t>
  </si>
  <si>
    <t xml:space="preserve">CARNILINX PTY LTD   </t>
  </si>
  <si>
    <t xml:space="preserve">MIMI                </t>
  </si>
  <si>
    <t>nono</t>
  </si>
  <si>
    <t xml:space="preserve">LYNDELL             </t>
  </si>
  <si>
    <t xml:space="preserve">Johan               </t>
  </si>
  <si>
    <t xml:space="preserve">JOHNSON AND JOHNSON </t>
  </si>
  <si>
    <t xml:space="preserve">L Dina              </t>
  </si>
  <si>
    <t xml:space="preserve">Leonie              </t>
  </si>
  <si>
    <t>G R ENGENEERING</t>
  </si>
  <si>
    <t xml:space="preserve">PHILLIMON           </t>
  </si>
  <si>
    <t xml:space="preserve">Judy                </t>
  </si>
  <si>
    <t>GRAHAMSTOWN</t>
  </si>
  <si>
    <t>GRAHAMSTOWN BRICK PT</t>
  </si>
  <si>
    <t>15::0</t>
  </si>
  <si>
    <t xml:space="preserve">XOLANI              </t>
  </si>
  <si>
    <t>INCORECT SUPPLI</t>
  </si>
  <si>
    <t>TOTAL SOURCE TRADING</t>
  </si>
  <si>
    <t xml:space="preserve">Zack                </t>
  </si>
  <si>
    <t>WEIR MINERALS AFRICA</t>
  </si>
  <si>
    <t xml:space="preserve">COLLEN              </t>
  </si>
  <si>
    <t xml:space="preserve">Diale               </t>
  </si>
  <si>
    <t xml:space="preserve">CEMBLOCKS (PTY)LTD  </t>
  </si>
  <si>
    <t xml:space="preserve">Alletta             </t>
  </si>
  <si>
    <t>TONGAAT HULLET STARC</t>
  </si>
  <si>
    <t xml:space="preserve">NHLANHLA            </t>
  </si>
  <si>
    <t xml:space="preserve">ANDRE               </t>
  </si>
  <si>
    <t xml:space="preserve">brandan             </t>
  </si>
  <si>
    <t xml:space="preserve">MPACT PLASTICS      </t>
  </si>
  <si>
    <t xml:space="preserve">w mhlongo           </t>
  </si>
  <si>
    <t xml:space="preserve">sherandy            </t>
  </si>
  <si>
    <t xml:space="preserve">nomvulo             </t>
  </si>
  <si>
    <t>RCL FOODS CONSUMER</t>
  </si>
  <si>
    <t xml:space="preserve">zulaicha            </t>
  </si>
  <si>
    <t>RE SEND TO CLIE</t>
  </si>
  <si>
    <t xml:space="preserve">tshiema             </t>
  </si>
  <si>
    <t xml:space="preserve">HELLERMANN TYTON    </t>
  </si>
  <si>
    <t xml:space="preserve">Prince              </t>
  </si>
  <si>
    <t xml:space="preserve">KHULELANI           </t>
  </si>
  <si>
    <t>TIGER BRANDS CHOCOLA</t>
  </si>
  <si>
    <t xml:space="preserve">keolin              </t>
  </si>
  <si>
    <t xml:space="preserve">Zolani              </t>
  </si>
  <si>
    <t>MACSTEEL TUBE   PIPE</t>
  </si>
  <si>
    <t>ILLOVO SUGAR LTD-SEZ</t>
  </si>
  <si>
    <t xml:space="preserve">LINDI               </t>
  </si>
  <si>
    <t xml:space="preserve">C N Brown           </t>
  </si>
  <si>
    <t xml:space="preserve">Amanda              </t>
  </si>
  <si>
    <t xml:space="preserve">Riaan               </t>
  </si>
  <si>
    <t>Richard</t>
  </si>
  <si>
    <t xml:space="preserve">ESKORT MEAT         </t>
  </si>
  <si>
    <t xml:space="preserve">hennie              </t>
  </si>
  <si>
    <t xml:space="preserve">RAVISHKHA           </t>
  </si>
  <si>
    <t xml:space="preserve">SLINDILE            </t>
  </si>
  <si>
    <t xml:space="preserve">ZAMBIA SUGAR        </t>
  </si>
  <si>
    <t xml:space="preserve">SPIRAX SARCO SA     </t>
  </si>
  <si>
    <t>19/03/2020</t>
  </si>
  <si>
    <t xml:space="preserve">SIG                 </t>
  </si>
  <si>
    <t xml:space="preserve">P.J.ENGINEERING     </t>
  </si>
  <si>
    <t xml:space="preserve"> alethea</t>
  </si>
  <si>
    <t xml:space="preserve">Beverly             </t>
  </si>
  <si>
    <t xml:space="preserve">Reginald            </t>
  </si>
  <si>
    <t>GONUBIE</t>
  </si>
  <si>
    <t xml:space="preserve">TITUS CONSULTING CC </t>
  </si>
  <si>
    <t xml:space="preserve">Taryn               </t>
  </si>
  <si>
    <t xml:space="preserve">PHARMA - Q PTY LTD  </t>
  </si>
  <si>
    <t xml:space="preserve">obvious             </t>
  </si>
  <si>
    <t xml:space="preserve">Michelle            </t>
  </si>
  <si>
    <t xml:space="preserve">LEAR SEWING PTY LTD </t>
  </si>
  <si>
    <t xml:space="preserve">Andson              </t>
  </si>
  <si>
    <t xml:space="preserve">Oyama               </t>
  </si>
  <si>
    <t xml:space="preserve">levae               </t>
  </si>
  <si>
    <t xml:space="preserve">TOTAL MINING CC     </t>
  </si>
  <si>
    <t xml:space="preserve">Panson              </t>
  </si>
  <si>
    <t xml:space="preserve">natal               </t>
  </si>
  <si>
    <t>G R W ENGINEERING</t>
  </si>
  <si>
    <t>THE ANDERSON LID CO.</t>
  </si>
  <si>
    <t xml:space="preserve">mukwevho            </t>
  </si>
  <si>
    <t>MICROMATH TRADING 16</t>
  </si>
  <si>
    <t xml:space="preserve">Leo                 </t>
  </si>
  <si>
    <t xml:space="preserve">leFae               </t>
  </si>
  <si>
    <t>RESCUE TECHNOLOGY CC</t>
  </si>
  <si>
    <t xml:space="preserve">s rabie             </t>
  </si>
  <si>
    <t xml:space="preserve">John                </t>
  </si>
  <si>
    <t>16::3</t>
  </si>
  <si>
    <t>AQEELAH</t>
  </si>
  <si>
    <t xml:space="preserve">CASPER              </t>
  </si>
  <si>
    <t xml:space="preserve">ELLEG               </t>
  </si>
  <si>
    <t xml:space="preserve">PAULOS              </t>
  </si>
  <si>
    <t>DALE TECHNICAL SERVI</t>
  </si>
  <si>
    <t xml:space="preserve">priscilla           </t>
  </si>
  <si>
    <t xml:space="preserve">Joline              </t>
  </si>
  <si>
    <t>sipho</t>
  </si>
  <si>
    <t>CATER CHAIN FOOD SER</t>
  </si>
  <si>
    <t xml:space="preserve">clifford            </t>
  </si>
  <si>
    <t xml:space="preserve">Hector              </t>
  </si>
  <si>
    <t xml:space="preserve">angelo              </t>
  </si>
  <si>
    <t xml:space="preserve">Louisa              </t>
  </si>
  <si>
    <t xml:space="preserve">Noluthando          </t>
  </si>
  <si>
    <t xml:space="preserve">prince k            </t>
  </si>
  <si>
    <t>nelson</t>
  </si>
  <si>
    <t xml:space="preserve">Zamain              </t>
  </si>
  <si>
    <t xml:space="preserve">jarrad              </t>
  </si>
  <si>
    <t xml:space="preserve">phumlani            </t>
  </si>
  <si>
    <t xml:space="preserve"> elisha</t>
  </si>
  <si>
    <t xml:space="preserve">j Erasmus           </t>
  </si>
  <si>
    <t xml:space="preserve">Hubert              </t>
  </si>
  <si>
    <t xml:space="preserve">marius              </t>
  </si>
  <si>
    <t xml:space="preserve">DANIEL              </t>
  </si>
  <si>
    <t xml:space="preserve">BULK TECHNIK CC     </t>
  </si>
  <si>
    <t xml:space="preserve">albbredt            </t>
  </si>
  <si>
    <t>RECKITT BENCKISER SA</t>
  </si>
  <si>
    <t xml:space="preserve">kate                </t>
  </si>
  <si>
    <t xml:space="preserve">THE SIMBA GROUP PTY </t>
  </si>
  <si>
    <t xml:space="preserve">Siphokazi           </t>
  </si>
  <si>
    <t xml:space="preserve">aggie               </t>
  </si>
  <si>
    <t>dulanie</t>
  </si>
  <si>
    <t>Chain store delivery</t>
  </si>
  <si>
    <t>H ROBB</t>
  </si>
  <si>
    <t xml:space="preserve"> AREA SERVICED ON MON, WED &amp; FRI</t>
  </si>
  <si>
    <t xml:space="preserve">Dan                 </t>
  </si>
  <si>
    <t>KERRY INGREDIENTS SO</t>
  </si>
  <si>
    <t xml:space="preserve">quriaha             </t>
  </si>
  <si>
    <t xml:space="preserve">ATT:ROBBY      </t>
  </si>
  <si>
    <t xml:space="preserve">BENNIE         </t>
  </si>
  <si>
    <t xml:space="preserve">babalwa             </t>
  </si>
  <si>
    <t>SNYMAN  TOOL   DIE C</t>
  </si>
  <si>
    <t xml:space="preserve">J MEYER ENGINEERING </t>
  </si>
  <si>
    <t xml:space="preserve">lesego              </t>
  </si>
  <si>
    <t xml:space="preserve">Esther              </t>
  </si>
  <si>
    <t xml:space="preserve">JONAS MALULEKE      </t>
  </si>
  <si>
    <t xml:space="preserve">HOT PLATINUM        </t>
  </si>
  <si>
    <t xml:space="preserve">Amian               </t>
  </si>
  <si>
    <t xml:space="preserve">Amina               </t>
  </si>
  <si>
    <t xml:space="preserve">Sgaajur             </t>
  </si>
  <si>
    <t>FEDERAL MOGUL ENGINE</t>
  </si>
  <si>
    <t xml:space="preserve">Bonny               </t>
  </si>
  <si>
    <t xml:space="preserve">booyens             </t>
  </si>
  <si>
    <t>alethea</t>
  </si>
  <si>
    <t xml:space="preserve">Reginauld           </t>
  </si>
  <si>
    <t xml:space="preserve">TEGNON (PTY)LTD     </t>
  </si>
  <si>
    <t>INCORRECT PRODUCT</t>
  </si>
  <si>
    <t xml:space="preserve">dimakatso           </t>
  </si>
  <si>
    <t xml:space="preserve">khuthadzo           </t>
  </si>
  <si>
    <t xml:space="preserve">Jann                </t>
  </si>
  <si>
    <t xml:space="preserve">BEYTEL              </t>
  </si>
  <si>
    <t xml:space="preserve">QUEEN               </t>
  </si>
  <si>
    <t xml:space="preserve">sherrif             </t>
  </si>
  <si>
    <t xml:space="preserve">cornelia            </t>
  </si>
  <si>
    <t>NISSAN SUID-AFRIKA (</t>
  </si>
  <si>
    <t>Hold for Collection Company Closed</t>
  </si>
  <si>
    <t>TOYOTA SA MOTORS PTY</t>
  </si>
  <si>
    <t xml:space="preserve">SIYABONGA           </t>
  </si>
  <si>
    <t xml:space="preserve">Jan                 </t>
  </si>
  <si>
    <t xml:space="preserve">Ricky               </t>
  </si>
  <si>
    <t xml:space="preserve">NIORO PLASTICS      </t>
  </si>
  <si>
    <t xml:space="preserve">H G Kraster         </t>
  </si>
  <si>
    <t xml:space="preserve">Zwelakhe            </t>
  </si>
  <si>
    <t xml:space="preserve">Johnny              </t>
  </si>
  <si>
    <t xml:space="preserve">jerry               </t>
  </si>
  <si>
    <t>20/03/2020</t>
  </si>
  <si>
    <t xml:space="preserve">NTUTHUZELO          </t>
  </si>
  <si>
    <t xml:space="preserve">trevor              </t>
  </si>
  <si>
    <t xml:space="preserve">PELCHEM   NECSA PTY </t>
  </si>
  <si>
    <t>Abel</t>
  </si>
  <si>
    <t xml:space="preserve">ZAMA                </t>
  </si>
  <si>
    <t xml:space="preserve">dhambuleni          </t>
  </si>
  <si>
    <t>YANFENG GLOBAL AUTOM</t>
  </si>
  <si>
    <t xml:space="preserve">George              </t>
  </si>
  <si>
    <t xml:space="preserve">allain              </t>
  </si>
  <si>
    <t xml:space="preserve">Asewahle            </t>
  </si>
  <si>
    <t>SBUSISO</t>
  </si>
  <si>
    <t xml:space="preserve">Giaan               </t>
  </si>
  <si>
    <t xml:space="preserve">thobijane           </t>
  </si>
  <si>
    <t xml:space="preserve">Browon              </t>
  </si>
  <si>
    <t xml:space="preserve">buas                </t>
  </si>
  <si>
    <t>AUTOMATION WORKS CAP</t>
  </si>
  <si>
    <t>23/03/2020</t>
  </si>
  <si>
    <t xml:space="preserve">A Van Zyl           </t>
  </si>
  <si>
    <t>HIDRO-TECH SYSTEMS P</t>
  </si>
  <si>
    <t xml:space="preserve">P Vorster           </t>
  </si>
  <si>
    <t xml:space="preserve">Lunge               </t>
  </si>
  <si>
    <t xml:space="preserve">Sina                </t>
  </si>
  <si>
    <t xml:space="preserve">CSIR PRETORIA       </t>
  </si>
  <si>
    <t xml:space="preserve">Ntombi              </t>
  </si>
  <si>
    <t xml:space="preserve">Kishen              </t>
  </si>
  <si>
    <t xml:space="preserve">dhumbuleni          </t>
  </si>
  <si>
    <t xml:space="preserve">nelson              </t>
  </si>
  <si>
    <t xml:space="preserve">E C Cele            </t>
  </si>
  <si>
    <t xml:space="preserve">SPRING MEADOW DAIRY </t>
  </si>
  <si>
    <t xml:space="preserve">sipephelo shabala   </t>
  </si>
  <si>
    <t>derek</t>
  </si>
  <si>
    <t>daylan</t>
  </si>
  <si>
    <t>CREATIVE CARE SOLUTI</t>
  </si>
  <si>
    <t xml:space="preserve">cathy               </t>
  </si>
  <si>
    <t>COMPANY CLOSED DUE TO  (COVID-19)</t>
  </si>
  <si>
    <t xml:space="preserve">charles             </t>
  </si>
  <si>
    <t>Siphelo</t>
  </si>
  <si>
    <t>PLANNED DELIVERY.23.03</t>
  </si>
  <si>
    <t>PIONEER FOODS  PTY L</t>
  </si>
  <si>
    <t>sandisile</t>
  </si>
  <si>
    <t>MAIN STREET 1310 PTY</t>
  </si>
  <si>
    <t xml:space="preserve">fodo                </t>
  </si>
  <si>
    <t xml:space="preserve">xoli                </t>
  </si>
  <si>
    <t xml:space="preserve">Vern                </t>
  </si>
  <si>
    <t xml:space="preserve">RACHEL              </t>
  </si>
  <si>
    <t xml:space="preserve">MENZI               </t>
  </si>
  <si>
    <t xml:space="preserve">GRIEF SA            </t>
  </si>
  <si>
    <t xml:space="preserve">Alina               </t>
  </si>
  <si>
    <t xml:space="preserve">abash               </t>
  </si>
  <si>
    <t xml:space="preserve">Stanley             </t>
  </si>
  <si>
    <t xml:space="preserve">Godfrey             </t>
  </si>
  <si>
    <t xml:space="preserve">SURPRISE            </t>
  </si>
  <si>
    <t xml:space="preserve">rene                </t>
  </si>
  <si>
    <t>koos</t>
  </si>
  <si>
    <t xml:space="preserve">CHEBZA              </t>
  </si>
  <si>
    <t xml:space="preserve">SENOFIA             </t>
  </si>
  <si>
    <t>geni</t>
  </si>
  <si>
    <t xml:space="preserve">gounden             </t>
  </si>
  <si>
    <t xml:space="preserve">Mduduzi             </t>
  </si>
  <si>
    <t xml:space="preserve">gabela              </t>
  </si>
  <si>
    <t xml:space="preserve">JOHN                </t>
  </si>
  <si>
    <t xml:space="preserve">Raymond             </t>
  </si>
  <si>
    <t xml:space="preserve">CHAYTON             </t>
  </si>
  <si>
    <t xml:space="preserve">PREMIER BAKERY      </t>
  </si>
  <si>
    <t xml:space="preserve">NOKWANDA            </t>
  </si>
  <si>
    <t xml:space="preserve">Blessing            </t>
  </si>
  <si>
    <t>BASF CONSTRUCTION CH</t>
  </si>
  <si>
    <t xml:space="preserve"> INCORRECT ADDRESS- PARCEL IS FOR PE</t>
  </si>
  <si>
    <t>NANOTECH WATER SOLUT</t>
  </si>
  <si>
    <t xml:space="preserve">lucinda             </t>
  </si>
  <si>
    <t xml:space="preserve">Dimpho              </t>
  </si>
  <si>
    <t xml:space="preserve">c booyson           </t>
  </si>
  <si>
    <t xml:space="preserve"> koos</t>
  </si>
  <si>
    <t>GUD HOLDINGS (PTY) L</t>
  </si>
  <si>
    <t>charity</t>
  </si>
  <si>
    <t xml:space="preserve">BAWS                </t>
  </si>
  <si>
    <t xml:space="preserve">TM ENGINEERING      </t>
  </si>
  <si>
    <t xml:space="preserve">gavin               </t>
  </si>
  <si>
    <t xml:space="preserve">nokkasi             </t>
  </si>
  <si>
    <t>TSITSIKAMMA</t>
  </si>
  <si>
    <t xml:space="preserve">TSITSIKAMMA CRYSTAL </t>
  </si>
  <si>
    <t xml:space="preserve">thobejane           </t>
  </si>
  <si>
    <t xml:space="preserve">PBA ENGINEERING     </t>
  </si>
  <si>
    <t xml:space="preserve">Jeff                </t>
  </si>
  <si>
    <t xml:space="preserve">MABOY               </t>
  </si>
  <si>
    <t>Wilson</t>
  </si>
  <si>
    <t>28/03/2020</t>
  </si>
  <si>
    <t>A P L  CARTONS</t>
  </si>
  <si>
    <t>Client refused delivery</t>
  </si>
  <si>
    <t xml:space="preserve">LINDIWE             </t>
  </si>
  <si>
    <t xml:space="preserve">BRAWS               </t>
  </si>
  <si>
    <t xml:space="preserve">KHUTHY              </t>
  </si>
  <si>
    <t xml:space="preserve">POWER WORKS         </t>
  </si>
  <si>
    <t xml:space="preserve">jay                 </t>
  </si>
  <si>
    <t xml:space="preserve">legasa              </t>
  </si>
  <si>
    <t xml:space="preserve">SHAUN PUCHERT       </t>
  </si>
  <si>
    <t>Siseko</t>
  </si>
  <si>
    <t>AMSTERDAM</t>
  </si>
  <si>
    <t xml:space="preserve">AGM 2 TRUST         </t>
  </si>
  <si>
    <t xml:space="preserve">DAWID               </t>
  </si>
  <si>
    <t xml:space="preserve"> gert</t>
  </si>
  <si>
    <t>SAME ADDRESS</t>
  </si>
  <si>
    <t xml:space="preserve">C  ROOS             </t>
  </si>
  <si>
    <t>RICH PRODUCTS CORP O</t>
  </si>
  <si>
    <t>lindani</t>
  </si>
  <si>
    <t xml:space="preserve">IVA                 </t>
  </si>
  <si>
    <t xml:space="preserve">carlize             </t>
  </si>
  <si>
    <t xml:space="preserve">S MUNSAMI           </t>
  </si>
  <si>
    <t xml:space="preserve">TOM                 </t>
  </si>
  <si>
    <t>PNEUTECH ENGINEERING</t>
  </si>
  <si>
    <t xml:space="preserve">PAK 2000 (PTY) LTD  </t>
  </si>
  <si>
    <t xml:space="preserve">Precious            </t>
  </si>
  <si>
    <t>STEAM GENERATION AFR</t>
  </si>
  <si>
    <t xml:space="preserve">CHEMPLUS CC         </t>
  </si>
  <si>
    <t xml:space="preserve">mpho                </t>
  </si>
  <si>
    <t>MATO PRODUCTS PTY LT</t>
  </si>
  <si>
    <t xml:space="preserve">Requel              </t>
  </si>
  <si>
    <t>GIRLOCK S.A (PTY)LTD</t>
  </si>
  <si>
    <t xml:space="preserve">Vee Vee             </t>
  </si>
  <si>
    <t>PTA</t>
  </si>
  <si>
    <t xml:space="preserve">charlie             </t>
  </si>
  <si>
    <t xml:space="preserve">IMARA AUTOMATION    </t>
  </si>
  <si>
    <t xml:space="preserve">Stevan              </t>
  </si>
  <si>
    <t xml:space="preserve">PPC CEMENT SA       </t>
  </si>
  <si>
    <t xml:space="preserve">innocent            </t>
  </si>
  <si>
    <t xml:space="preserve">khaye               </t>
  </si>
  <si>
    <t xml:space="preserve">ACTOM PTY LTD       </t>
  </si>
  <si>
    <t xml:space="preserve">sandisile           </t>
  </si>
  <si>
    <t xml:space="preserve">m olipha            </t>
  </si>
  <si>
    <t xml:space="preserve">PEDDLE INDUSTRIAL   </t>
  </si>
  <si>
    <t xml:space="preserve">elton               </t>
  </si>
  <si>
    <t xml:space="preserve">Collins             </t>
  </si>
  <si>
    <t xml:space="preserve">TSHIAWELO           </t>
  </si>
  <si>
    <t xml:space="preserve">TV Mashaba          </t>
  </si>
  <si>
    <t xml:space="preserve">c botha             </t>
  </si>
  <si>
    <t xml:space="preserve">D PILLAY            </t>
  </si>
  <si>
    <t xml:space="preserve">koos                </t>
  </si>
  <si>
    <t xml:space="preserve"> CLIENT NOT AVAILABLE AS PER DRIVER,HE IS WORKING NIGHT SHIFT</t>
  </si>
  <si>
    <t xml:space="preserve">lanton              </t>
  </si>
  <si>
    <t xml:space="preserve">John Paul           </t>
  </si>
  <si>
    <t xml:space="preserve">Wasiefa             </t>
  </si>
  <si>
    <t xml:space="preserve"> GRW ENG PTY LTD</t>
  </si>
  <si>
    <t>PRIMA INDUSTRIAL HOL</t>
  </si>
  <si>
    <t xml:space="preserve">REVISKHA            </t>
  </si>
  <si>
    <t xml:space="preserve">ROCKTREES ELECTRIC  </t>
  </si>
  <si>
    <t xml:space="preserve">Geofrey             </t>
  </si>
  <si>
    <t xml:space="preserve">wickus              </t>
  </si>
  <si>
    <t xml:space="preserve">Sean                </t>
  </si>
  <si>
    <t>RICE   PASTA A DIV O</t>
  </si>
  <si>
    <t xml:space="preserve">Hans                </t>
  </si>
  <si>
    <t xml:space="preserve">Harriet             </t>
  </si>
  <si>
    <t>roland</t>
  </si>
  <si>
    <t xml:space="preserve">Zelda               </t>
  </si>
  <si>
    <t xml:space="preserve">BONGS               </t>
  </si>
  <si>
    <t>LEWTHWAITE ENGINEERI</t>
  </si>
  <si>
    <t xml:space="preserve">SERMONE             </t>
  </si>
  <si>
    <t xml:space="preserve">Gift                </t>
  </si>
  <si>
    <t xml:space="preserve">FLOWROX PTY LTD     </t>
  </si>
  <si>
    <t xml:space="preserve">Davide              </t>
  </si>
  <si>
    <t>CYCLONE INDUSTRIES P</t>
  </si>
  <si>
    <t xml:space="preserve">allen               </t>
  </si>
  <si>
    <t xml:space="preserve">Morne               </t>
  </si>
  <si>
    <t xml:space="preserve">DAYLON              </t>
  </si>
  <si>
    <t xml:space="preserve">Roos                </t>
  </si>
  <si>
    <t xml:space="preserve">kreolin             </t>
  </si>
  <si>
    <t xml:space="preserve">raj raj             </t>
  </si>
  <si>
    <t>21/03/2020</t>
  </si>
  <si>
    <t xml:space="preserve">D FORTUIN           </t>
  </si>
  <si>
    <t xml:space="preserve">Asekmahle           </t>
  </si>
  <si>
    <t xml:space="preserve">laura               </t>
  </si>
  <si>
    <t xml:space="preserve">Mlanjeni Mlibo      </t>
  </si>
  <si>
    <t xml:space="preserve">VERONICA            </t>
  </si>
  <si>
    <t xml:space="preserve">metthew             </t>
  </si>
  <si>
    <t xml:space="preserve">ALDOR AFRICA        </t>
  </si>
  <si>
    <t>illeg</t>
  </si>
  <si>
    <t>SMMF SOFTWARE TECHNO</t>
  </si>
  <si>
    <t xml:space="preserve">cliford             </t>
  </si>
  <si>
    <t>MPACT PLASTICS COMPR</t>
  </si>
  <si>
    <t xml:space="preserve">ELLEN               </t>
  </si>
  <si>
    <t xml:space="preserve">Tracy king          </t>
  </si>
  <si>
    <t xml:space="preserve">BEMME               </t>
  </si>
  <si>
    <t>Sabelo</t>
  </si>
  <si>
    <t xml:space="preserve">naidine             </t>
  </si>
  <si>
    <t xml:space="preserve">NEVEN               </t>
  </si>
  <si>
    <t xml:space="preserve">REVISHNA            </t>
  </si>
  <si>
    <t xml:space="preserve">adey                </t>
  </si>
  <si>
    <t>HYDRABERG HYDRAULICS</t>
  </si>
  <si>
    <t xml:space="preserve">Patricia            </t>
  </si>
  <si>
    <t>PG BISON A DIV OF KA</t>
  </si>
  <si>
    <t xml:space="preserve">KAMOHELO            </t>
  </si>
  <si>
    <t xml:space="preserve">jephrey             </t>
  </si>
  <si>
    <t xml:space="preserve">nadine              </t>
  </si>
  <si>
    <t xml:space="preserve">QUALIPAK (PTY) LTD  </t>
  </si>
  <si>
    <t xml:space="preserve">Fraser              </t>
  </si>
  <si>
    <t xml:space="preserve">LANDILE             </t>
  </si>
  <si>
    <t xml:space="preserve">Geraldine           </t>
  </si>
  <si>
    <t xml:space="preserve">jeff                </t>
  </si>
  <si>
    <t xml:space="preserve">lucky               </t>
  </si>
  <si>
    <t xml:space="preserve">PETROLEUM REPAIR    </t>
  </si>
  <si>
    <t xml:space="preserve">G ermer             </t>
  </si>
  <si>
    <t xml:space="preserve">Cilia               </t>
  </si>
  <si>
    <t xml:space="preserve">AQUAPLAN CC         </t>
  </si>
  <si>
    <t xml:space="preserve">NOXOLO              </t>
  </si>
  <si>
    <t xml:space="preserve">VIREN               </t>
  </si>
  <si>
    <t>24/03/2020</t>
  </si>
  <si>
    <t xml:space="preserve"> REFUSED DELIVERY AS PER DRIVERS....SHCROWN</t>
  </si>
  <si>
    <t xml:space="preserve">ntembeKo            </t>
  </si>
  <si>
    <t>PATENSIE</t>
  </si>
  <si>
    <t xml:space="preserve">G N MOTOR REWINDING </t>
  </si>
  <si>
    <t>LEON</t>
  </si>
  <si>
    <t xml:space="preserve">BIMBO QSR           </t>
  </si>
  <si>
    <t xml:space="preserve">EMILE               </t>
  </si>
  <si>
    <t>DIMENSION ENGINEERIN</t>
  </si>
  <si>
    <t xml:space="preserve">grace               </t>
  </si>
  <si>
    <t>SNS ENGINEERING   CO</t>
  </si>
  <si>
    <t>WATER PURIFICATION C</t>
  </si>
  <si>
    <t xml:space="preserve">chinzania           </t>
  </si>
  <si>
    <t xml:space="preserve"> Client refused delivery</t>
  </si>
  <si>
    <t xml:space="preserve">AGV MANAGEMENT      </t>
  </si>
  <si>
    <t xml:space="preserve">tiny                </t>
  </si>
  <si>
    <t xml:space="preserve">FILKRAFT (PTY)LTD   </t>
  </si>
  <si>
    <t xml:space="preserve">Thys                </t>
  </si>
  <si>
    <t xml:space="preserve">linah               </t>
  </si>
  <si>
    <t xml:space="preserve">Ashley              </t>
  </si>
  <si>
    <t>PIETERSBURG</t>
  </si>
  <si>
    <t xml:space="preserve">CPC STSTEMS CC      </t>
  </si>
  <si>
    <t xml:space="preserve">maltah              </t>
  </si>
  <si>
    <t>RHINO VALVES PTY LTD</t>
  </si>
  <si>
    <t xml:space="preserve">brandon             </t>
  </si>
  <si>
    <t xml:space="preserve">CLUB REFRIGERATION  </t>
  </si>
  <si>
    <t xml:space="preserve">Reta                </t>
  </si>
  <si>
    <t xml:space="preserve">shamonick           </t>
  </si>
  <si>
    <t xml:space="preserve">pinky               </t>
  </si>
  <si>
    <t xml:space="preserve">dian                </t>
  </si>
  <si>
    <t xml:space="preserve">bennet              </t>
  </si>
  <si>
    <t>A Van Zyl</t>
  </si>
  <si>
    <t>NORTON   SCALLAN MIN</t>
  </si>
  <si>
    <t xml:space="preserve">Gareth              </t>
  </si>
  <si>
    <t xml:space="preserve">joshua              </t>
  </si>
  <si>
    <t xml:space="preserve">Dzallo              </t>
  </si>
  <si>
    <t xml:space="preserve">kenneth             </t>
  </si>
  <si>
    <t xml:space="preserve">ZETES (PTY)LTD      </t>
  </si>
  <si>
    <t>ELECTRO-MECH SERVICE</t>
  </si>
  <si>
    <t xml:space="preserve">VANESCO PTY LTD     </t>
  </si>
  <si>
    <t xml:space="preserve">Nicolet             </t>
  </si>
  <si>
    <t xml:space="preserve">kaizer              </t>
  </si>
  <si>
    <t xml:space="preserve">cliffird            </t>
  </si>
  <si>
    <t xml:space="preserve">VINCENT             </t>
  </si>
  <si>
    <t xml:space="preserve">UMKOMAAS LIGNIN     </t>
  </si>
  <si>
    <t>MALE</t>
  </si>
  <si>
    <t xml:space="preserve">MEGA - PAK          </t>
  </si>
  <si>
    <t xml:space="preserve">Reshma              </t>
  </si>
  <si>
    <t>MACSTEEL FUILD CONTR</t>
  </si>
  <si>
    <t xml:space="preserve">noel                </t>
  </si>
  <si>
    <t xml:space="preserve"> Bad address</t>
  </si>
  <si>
    <t xml:space="preserve">Carlton monareng    </t>
  </si>
  <si>
    <t xml:space="preserve">GRAMEC PTY LTD      </t>
  </si>
  <si>
    <t xml:space="preserve">elizabeth           </t>
  </si>
  <si>
    <t xml:space="preserve">KATHY               </t>
  </si>
  <si>
    <t xml:space="preserve">Rumsan              </t>
  </si>
  <si>
    <t>25/03/2020</t>
  </si>
  <si>
    <t xml:space="preserve">LEON                </t>
  </si>
  <si>
    <t xml:space="preserve">MALE                </t>
  </si>
  <si>
    <t xml:space="preserve">amina               </t>
  </si>
  <si>
    <t xml:space="preserve">SUPPLYRITE CC       </t>
  </si>
  <si>
    <t xml:space="preserve">johan               </t>
  </si>
  <si>
    <t xml:space="preserve">h mguni             </t>
  </si>
  <si>
    <t>PER DRIVER CLIENT REFUSED DELIVERY</t>
  </si>
  <si>
    <t xml:space="preserve">Chelsea             </t>
  </si>
  <si>
    <t xml:space="preserve">LEFA                </t>
  </si>
  <si>
    <t xml:space="preserve">William             </t>
  </si>
  <si>
    <t xml:space="preserve">sandisi             </t>
  </si>
  <si>
    <t xml:space="preserve">MONDELEZ PE FACTORY </t>
  </si>
  <si>
    <t xml:space="preserve">Haydn               </t>
  </si>
  <si>
    <t>PREMIER FMCG (PTY) L</t>
  </si>
  <si>
    <t xml:space="preserve">PEARL               </t>
  </si>
  <si>
    <t xml:space="preserve">LUCAS               </t>
  </si>
  <si>
    <t xml:space="preserve">J Schnepel          </t>
  </si>
  <si>
    <t xml:space="preserve">NEIL                </t>
  </si>
  <si>
    <t xml:space="preserve">Bradley             </t>
  </si>
  <si>
    <t xml:space="preserve">Jackie              </t>
  </si>
  <si>
    <t>David</t>
  </si>
  <si>
    <t xml:space="preserve">cormenilse          </t>
  </si>
  <si>
    <t>INTAKA TECH (PTY)LTD</t>
  </si>
  <si>
    <t xml:space="preserve">charleNE            </t>
  </si>
  <si>
    <t xml:space="preserve">MONDY               </t>
  </si>
  <si>
    <t>SIGNAL INSTRUMENTATI</t>
  </si>
  <si>
    <t xml:space="preserve">faan                </t>
  </si>
  <si>
    <t xml:space="preserve">LERATO              </t>
  </si>
  <si>
    <t xml:space="preserve">sign                </t>
  </si>
  <si>
    <t xml:space="preserve">LONA                </t>
  </si>
  <si>
    <t>MACSTEEL COIL PROCES</t>
  </si>
  <si>
    <t xml:space="preserve">ashwin              </t>
  </si>
  <si>
    <t xml:space="preserve">karrima             </t>
  </si>
  <si>
    <t xml:space="preserve">roland              </t>
  </si>
  <si>
    <t xml:space="preserve">UNILEVER SA         </t>
  </si>
  <si>
    <t xml:space="preserve">kanyane             </t>
  </si>
  <si>
    <t xml:space="preserve">h robb              </t>
  </si>
  <si>
    <t xml:space="preserve">sinclair            </t>
  </si>
  <si>
    <t xml:space="preserve">TUPPERWARE SA       </t>
  </si>
  <si>
    <t>chris</t>
  </si>
  <si>
    <t xml:space="preserve">bars                </t>
  </si>
  <si>
    <t xml:space="preserve">sibongise           </t>
  </si>
  <si>
    <t xml:space="preserve">L LE RICHE          </t>
  </si>
  <si>
    <t xml:space="preserve">ronald              </t>
  </si>
  <si>
    <t xml:space="preserve">Hannes              </t>
  </si>
  <si>
    <t xml:space="preserve">Josen               </t>
  </si>
  <si>
    <t xml:space="preserve">adries              </t>
  </si>
  <si>
    <t xml:space="preserve">RUDI                </t>
  </si>
  <si>
    <t xml:space="preserve">reahik              </t>
  </si>
  <si>
    <t xml:space="preserve">E DU PLESSIS        </t>
  </si>
  <si>
    <t>Company Closed</t>
  </si>
  <si>
    <t>T3 PLASTIC PACKAGING</t>
  </si>
  <si>
    <t xml:space="preserve">larissa             </t>
  </si>
  <si>
    <t xml:space="preserve">barns               </t>
  </si>
  <si>
    <t xml:space="preserve">bans                </t>
  </si>
  <si>
    <t xml:space="preserve">CHRIS               </t>
  </si>
  <si>
    <t>COPACETIC DESIG (PTY</t>
  </si>
  <si>
    <t xml:space="preserve">Ferdie              </t>
  </si>
  <si>
    <t xml:space="preserve">hyrow               </t>
  </si>
  <si>
    <t xml:space="preserve">DEVAN               </t>
  </si>
  <si>
    <t xml:space="preserve">pauline             </t>
  </si>
  <si>
    <t>PRIME INTERNATINAL T</t>
  </si>
  <si>
    <t xml:space="preserve">JASON               </t>
  </si>
  <si>
    <t xml:space="preserve">r ramsami           </t>
  </si>
  <si>
    <t xml:space="preserve">j erasmus           </t>
  </si>
  <si>
    <t>14::0</t>
  </si>
  <si>
    <t>FESTO</t>
  </si>
  <si>
    <t>27/03/2020</t>
  </si>
  <si>
    <t xml:space="preserve">TONY                </t>
  </si>
  <si>
    <t>26/03/2020</t>
  </si>
  <si>
    <t xml:space="preserve">Vanessa             </t>
  </si>
  <si>
    <t>COMPANY CLOSED</t>
  </si>
  <si>
    <t xml:space="preserve">dwan                </t>
  </si>
  <si>
    <t xml:space="preserve">MAIWE               </t>
  </si>
  <si>
    <t xml:space="preserve">Walter              </t>
  </si>
  <si>
    <t xml:space="preserve">siphetho            </t>
  </si>
  <si>
    <t xml:space="preserve">Aliston             </t>
  </si>
  <si>
    <t xml:space="preserve">Randal              </t>
  </si>
  <si>
    <t xml:space="preserve">RTS AS PER BAKER    </t>
  </si>
  <si>
    <t xml:space="preserve">asiphe              </t>
  </si>
  <si>
    <t xml:space="preserve">DONALD              </t>
  </si>
  <si>
    <t xml:space="preserve">THATO               </t>
  </si>
  <si>
    <t xml:space="preserve">     </t>
  </si>
  <si>
    <t xml:space="preserve">siphephelo          </t>
  </si>
  <si>
    <t xml:space="preserve">MOKGADI             </t>
  </si>
  <si>
    <t xml:space="preserve">sheldon             </t>
  </si>
  <si>
    <t xml:space="preserve">mavango             </t>
  </si>
  <si>
    <t xml:space="preserve">jolene              </t>
  </si>
  <si>
    <t xml:space="preserve">A Paulse            </t>
  </si>
  <si>
    <t xml:space="preserve">k  a moloto         </t>
  </si>
  <si>
    <t xml:space="preserve">lantis              </t>
  </si>
  <si>
    <t xml:space="preserve">RAYMOND             </t>
  </si>
  <si>
    <t xml:space="preserve">Neven               </t>
  </si>
  <si>
    <t xml:space="preserve">ENETH               </t>
  </si>
  <si>
    <t xml:space="preserve">M HENRY             </t>
  </si>
  <si>
    <t xml:space="preserve">SUGAN               </t>
  </si>
  <si>
    <t xml:space="preserve">STAN                </t>
  </si>
  <si>
    <t xml:space="preserve">Sandko              </t>
  </si>
  <si>
    <t xml:space="preserve">Matilda             </t>
  </si>
  <si>
    <t xml:space="preserve">KANYANE             </t>
  </si>
  <si>
    <t xml:space="preserve">nkosi               </t>
  </si>
  <si>
    <t xml:space="preserve">casper              </t>
  </si>
  <si>
    <t xml:space="preserve">DAYNE               </t>
  </si>
  <si>
    <t>MALMESBURY</t>
  </si>
  <si>
    <t xml:space="preserve">Anzelle             </t>
  </si>
  <si>
    <t xml:space="preserve">sisanda             </t>
  </si>
  <si>
    <t xml:space="preserve">PAUL                </t>
  </si>
  <si>
    <t xml:space="preserve">lindani             </t>
  </si>
  <si>
    <t xml:space="preserve">ludwe               </t>
  </si>
  <si>
    <t xml:space="preserve">Florence            </t>
  </si>
  <si>
    <t xml:space="preserve">stephan             </t>
  </si>
  <si>
    <t xml:space="preserve">KARTHY              </t>
  </si>
  <si>
    <t xml:space="preserve">Elma                </t>
  </si>
  <si>
    <t xml:space="preserve">SALOSHNI            </t>
  </si>
  <si>
    <t xml:space="preserve">susan               </t>
  </si>
  <si>
    <t xml:space="preserve">jalo                </t>
  </si>
  <si>
    <t>ICP</t>
  </si>
  <si>
    <t>INT</t>
  </si>
  <si>
    <t>LESOTHO (MAIN CENTRES ONLY)</t>
  </si>
  <si>
    <t xml:space="preserve">Naelah              </t>
  </si>
  <si>
    <t>LATE LINEHAUL</t>
  </si>
  <si>
    <t xml:space="preserve">ETTIENNE            </t>
  </si>
  <si>
    <t xml:space="preserve">DEREK               </t>
  </si>
  <si>
    <t xml:space="preserve">Khulekani           </t>
  </si>
  <si>
    <t xml:space="preserve">NONHLANHLA          </t>
  </si>
  <si>
    <t xml:space="preserve">lucas               </t>
  </si>
  <si>
    <t xml:space="preserve">Victor              </t>
  </si>
  <si>
    <t xml:space="preserve">Nkululeko           </t>
  </si>
  <si>
    <t xml:space="preserve">lijonga             </t>
  </si>
  <si>
    <t xml:space="preserve">paulus              </t>
  </si>
  <si>
    <t xml:space="preserve">daylan              </t>
  </si>
  <si>
    <t xml:space="preserve">glen                </t>
  </si>
  <si>
    <t xml:space="preserve">phumeza             </t>
  </si>
  <si>
    <t xml:space="preserve">Zakes               </t>
  </si>
  <si>
    <t>NELSPRUIT</t>
  </si>
  <si>
    <t xml:space="preserve">Hanns               </t>
  </si>
  <si>
    <t xml:space="preserve">quinton             </t>
  </si>
  <si>
    <t xml:space="preserve">Tracy               </t>
  </si>
  <si>
    <t>FES1162743756</t>
  </si>
  <si>
    <t xml:space="preserve">Aubrey              </t>
  </si>
  <si>
    <t xml:space="preserve">abusa               </t>
  </si>
  <si>
    <t>FES1162743807</t>
  </si>
  <si>
    <t>30/03/2020</t>
  </si>
  <si>
    <t xml:space="preserve">rezaan              </t>
  </si>
  <si>
    <t xml:space="preserve">abdul               </t>
  </si>
  <si>
    <t xml:space="preserve">aaron               </t>
  </si>
  <si>
    <t xml:space="preserve">nyeleti             </t>
  </si>
  <si>
    <t xml:space="preserve">clinton             </t>
  </si>
  <si>
    <t>31/03/2020</t>
  </si>
  <si>
    <t xml:space="preserve">salaam              </t>
  </si>
  <si>
    <t xml:space="preserve">Johann              </t>
  </si>
  <si>
    <t xml:space="preserve">MOKHETHA            </t>
  </si>
  <si>
    <t xml:space="preserve">STEVEN              </t>
  </si>
  <si>
    <t xml:space="preserve">HOPE                </t>
  </si>
  <si>
    <t>01/04/2020</t>
  </si>
  <si>
    <t>ALLOCATED FOR DELIVERY 01/04/2020</t>
  </si>
  <si>
    <t xml:space="preserve">d achmat            </t>
  </si>
  <si>
    <t xml:space="preserve">bade                </t>
  </si>
  <si>
    <t xml:space="preserve">Xoli                </t>
  </si>
  <si>
    <t xml:space="preserve">NELSON              </t>
  </si>
  <si>
    <t>OUT ON DELIVERY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</si>
</sst>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0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/>
    <xf numFmtId="20" fontId="2" fillId="3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20" fontId="2" fillId="5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0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67"/>
  <sheetViews>
    <sheetView tabSelected="1" topLeftCell="A3541" zoomScale="115" zoomScaleNormal="115" workbookViewId="0">
      <selection activeCell="C3586" sqref="C3586"/>
    </sheetView>
  </sheetViews>
  <sheetFormatPr defaultRowHeight="11.25"/>
  <cols>
    <col min="1" max="1" width="7.85546875" style="3" customWidth="1"/>
    <col min="2" max="2" width="11.7109375" style="2" customWidth="1"/>
    <col min="3" max="3" width="9.140625" style="2" customWidth="1"/>
    <col min="4" max="4" width="5.5703125" style="2" customWidth="1"/>
    <col min="5" max="5" width="10.85546875" style="2" customWidth="1"/>
    <col min="6" max="6" width="5.85546875" style="2" customWidth="1"/>
    <col min="7" max="7" width="6.5703125" style="2" customWidth="1"/>
    <col min="8" max="8" width="6" style="2" customWidth="1"/>
    <col min="9" max="9" width="13.28515625" style="2" customWidth="1"/>
    <col min="10" max="10" width="17" style="2" customWidth="1"/>
    <col min="11" max="11" width="9.42578125" style="2" bestFit="1" customWidth="1"/>
    <col min="12" max="12" width="7.5703125" style="2" customWidth="1"/>
    <col min="13" max="13" width="17.140625" style="2" customWidth="1"/>
    <col min="14" max="14" width="46" style="2" bestFit="1" customWidth="1"/>
    <col min="15" max="15" width="47.7109375" style="2" customWidth="1"/>
    <col min="16" max="16384" width="9.140625" style="2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3" t="s">
        <v>15</v>
      </c>
      <c r="B2" s="3" t="str">
        <f>"FES1162739425"</f>
        <v>FES1162739425</v>
      </c>
      <c r="C2" s="3" t="s">
        <v>16</v>
      </c>
      <c r="D2" s="3">
        <v>1</v>
      </c>
      <c r="E2" s="3">
        <v>2170731105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4">
        <v>0.39583333333333331</v>
      </c>
      <c r="M2" s="3" t="s">
        <v>23</v>
      </c>
      <c r="N2" s="3" t="s">
        <v>24</v>
      </c>
      <c r="O2" s="3" t="s">
        <v>25</v>
      </c>
    </row>
    <row r="3" spans="1:15">
      <c r="A3" s="3" t="s">
        <v>15</v>
      </c>
      <c r="B3" s="3" t="str">
        <f>"FES1162739389"</f>
        <v>FES1162739389</v>
      </c>
      <c r="C3" s="3" t="s">
        <v>16</v>
      </c>
      <c r="D3" s="3">
        <v>1</v>
      </c>
      <c r="E3" s="3">
        <v>2170729286</v>
      </c>
      <c r="F3" s="3" t="s">
        <v>17</v>
      </c>
      <c r="G3" s="3" t="s">
        <v>18</v>
      </c>
      <c r="H3" s="3" t="s">
        <v>18</v>
      </c>
      <c r="I3" s="3" t="s">
        <v>26</v>
      </c>
      <c r="J3" s="3" t="s">
        <v>27</v>
      </c>
      <c r="K3" s="3" t="s">
        <v>22</v>
      </c>
      <c r="L3" s="4">
        <v>0.27083333333333331</v>
      </c>
      <c r="M3" s="3" t="s">
        <v>28</v>
      </c>
      <c r="N3" s="3" t="s">
        <v>24</v>
      </c>
      <c r="O3" s="3" t="s">
        <v>25</v>
      </c>
    </row>
    <row r="4" spans="1:15">
      <c r="A4" s="3" t="s">
        <v>15</v>
      </c>
      <c r="B4" s="3" t="str">
        <f>"R009935712340"</f>
        <v>R009935712340</v>
      </c>
      <c r="C4" s="3" t="s">
        <v>16</v>
      </c>
      <c r="D4" s="3">
        <v>1</v>
      </c>
      <c r="E4" s="3">
        <v>1162735986</v>
      </c>
      <c r="F4" s="3" t="s">
        <v>17</v>
      </c>
      <c r="G4" s="3" t="s">
        <v>18</v>
      </c>
      <c r="H4" s="3" t="s">
        <v>18</v>
      </c>
      <c r="I4" s="3" t="s">
        <v>29</v>
      </c>
      <c r="J4" s="3" t="s">
        <v>30</v>
      </c>
      <c r="K4" s="3" t="s">
        <v>22</v>
      </c>
      <c r="L4" s="4">
        <v>0.37222222222222223</v>
      </c>
      <c r="M4" s="3" t="s">
        <v>31</v>
      </c>
      <c r="N4" s="3" t="s">
        <v>24</v>
      </c>
      <c r="O4" s="3" t="s">
        <v>32</v>
      </c>
    </row>
    <row r="5" spans="1:15">
      <c r="A5" s="3" t="s">
        <v>15</v>
      </c>
      <c r="B5" s="3" t="str">
        <f>"FES1162739375"</f>
        <v>FES1162739375</v>
      </c>
      <c r="C5" s="3" t="s">
        <v>16</v>
      </c>
      <c r="D5" s="3">
        <v>1</v>
      </c>
      <c r="E5" s="3">
        <v>2170730022</v>
      </c>
      <c r="F5" s="3" t="s">
        <v>17</v>
      </c>
      <c r="G5" s="3" t="s">
        <v>18</v>
      </c>
      <c r="H5" s="3" t="s">
        <v>18</v>
      </c>
      <c r="I5" s="3" t="s">
        <v>33</v>
      </c>
      <c r="J5" s="3" t="s">
        <v>34</v>
      </c>
      <c r="K5" s="3" t="s">
        <v>22</v>
      </c>
      <c r="L5" s="4">
        <v>0.4055555555555555</v>
      </c>
      <c r="M5" s="3" t="s">
        <v>35</v>
      </c>
      <c r="N5" s="3" t="s">
        <v>24</v>
      </c>
      <c r="O5" s="3" t="s">
        <v>25</v>
      </c>
    </row>
    <row r="6" spans="1:15">
      <c r="A6" s="3" t="s">
        <v>15</v>
      </c>
      <c r="B6" s="3" t="str">
        <f>"FES1162739367"</f>
        <v>FES1162739367</v>
      </c>
      <c r="C6" s="3" t="s">
        <v>16</v>
      </c>
      <c r="D6" s="3">
        <v>1</v>
      </c>
      <c r="E6" s="3">
        <v>2170729924</v>
      </c>
      <c r="F6" s="3" t="s">
        <v>17</v>
      </c>
      <c r="G6" s="3" t="s">
        <v>18</v>
      </c>
      <c r="H6" s="3" t="s">
        <v>36</v>
      </c>
      <c r="I6" s="3" t="s">
        <v>37</v>
      </c>
      <c r="J6" s="3" t="s">
        <v>38</v>
      </c>
      <c r="K6" s="3" t="s">
        <v>22</v>
      </c>
      <c r="L6" s="4">
        <v>0.39930555555555558</v>
      </c>
      <c r="M6" s="3" t="s">
        <v>39</v>
      </c>
      <c r="N6" s="3" t="s">
        <v>24</v>
      </c>
      <c r="O6" s="3" t="s">
        <v>25</v>
      </c>
    </row>
    <row r="7" spans="1:15">
      <c r="A7" s="3" t="s">
        <v>15</v>
      </c>
      <c r="B7" s="3" t="str">
        <f>"FES1162739369"</f>
        <v>FES1162739369</v>
      </c>
      <c r="C7" s="3" t="s">
        <v>16</v>
      </c>
      <c r="D7" s="3">
        <v>1</v>
      </c>
      <c r="E7" s="3">
        <v>2170729546</v>
      </c>
      <c r="F7" s="3" t="s">
        <v>17</v>
      </c>
      <c r="G7" s="3" t="s">
        <v>18</v>
      </c>
      <c r="H7" s="3" t="s">
        <v>40</v>
      </c>
      <c r="I7" s="3" t="s">
        <v>41</v>
      </c>
      <c r="J7" s="3" t="s">
        <v>42</v>
      </c>
      <c r="K7" s="3" t="s">
        <v>22</v>
      </c>
      <c r="L7" s="4">
        <v>0.42708333333333331</v>
      </c>
      <c r="M7" s="3" t="s">
        <v>43</v>
      </c>
      <c r="N7" s="3" t="s">
        <v>24</v>
      </c>
      <c r="O7" s="3" t="s">
        <v>25</v>
      </c>
    </row>
    <row r="8" spans="1:15">
      <c r="A8" s="3" t="s">
        <v>15</v>
      </c>
      <c r="B8" s="3" t="str">
        <f>"FES1162739379"</f>
        <v>FES1162739379</v>
      </c>
      <c r="C8" s="3" t="s">
        <v>16</v>
      </c>
      <c r="D8" s="3">
        <v>1</v>
      </c>
      <c r="E8" s="3">
        <v>2170730085</v>
      </c>
      <c r="F8" s="3" t="s">
        <v>17</v>
      </c>
      <c r="G8" s="3" t="s">
        <v>18</v>
      </c>
      <c r="H8" s="3" t="s">
        <v>19</v>
      </c>
      <c r="I8" s="3" t="s">
        <v>20</v>
      </c>
      <c r="J8" s="3" t="s">
        <v>44</v>
      </c>
      <c r="K8" s="3" t="s">
        <v>22</v>
      </c>
      <c r="L8" s="4">
        <v>0.4069444444444445</v>
      </c>
      <c r="M8" s="3" t="s">
        <v>45</v>
      </c>
      <c r="N8" s="3" t="s">
        <v>24</v>
      </c>
      <c r="O8" s="3" t="s">
        <v>25</v>
      </c>
    </row>
    <row r="9" spans="1:15">
      <c r="A9" s="3" t="s">
        <v>15</v>
      </c>
      <c r="B9" s="3" t="str">
        <f>"FES1162739362"</f>
        <v>FES1162739362</v>
      </c>
      <c r="C9" s="3" t="s">
        <v>16</v>
      </c>
      <c r="D9" s="3">
        <v>1</v>
      </c>
      <c r="E9" s="3">
        <v>2170730031</v>
      </c>
      <c r="F9" s="3" t="s">
        <v>17</v>
      </c>
      <c r="G9" s="3" t="s">
        <v>18</v>
      </c>
      <c r="H9" s="3" t="s">
        <v>46</v>
      </c>
      <c r="I9" s="3" t="s">
        <v>47</v>
      </c>
      <c r="J9" s="3" t="s">
        <v>48</v>
      </c>
      <c r="K9" s="3" t="s">
        <v>22</v>
      </c>
      <c r="L9" s="4">
        <v>0.43263888888888885</v>
      </c>
      <c r="M9" s="3" t="s">
        <v>48</v>
      </c>
      <c r="N9" s="3" t="s">
        <v>24</v>
      </c>
      <c r="O9" s="3" t="s">
        <v>25</v>
      </c>
    </row>
    <row r="10" spans="1:15">
      <c r="A10" s="3" t="s">
        <v>15</v>
      </c>
      <c r="B10" s="3" t="str">
        <f>"FES1162739302"</f>
        <v>FES1162739302</v>
      </c>
      <c r="C10" s="3" t="s">
        <v>16</v>
      </c>
      <c r="D10" s="3">
        <v>1</v>
      </c>
      <c r="E10" s="3">
        <v>2170728171</v>
      </c>
      <c r="F10" s="3" t="s">
        <v>17</v>
      </c>
      <c r="G10" s="3" t="s">
        <v>18</v>
      </c>
      <c r="H10" s="3" t="s">
        <v>18</v>
      </c>
      <c r="I10" s="3" t="s">
        <v>29</v>
      </c>
      <c r="J10" s="3" t="s">
        <v>49</v>
      </c>
      <c r="K10" s="3" t="s">
        <v>22</v>
      </c>
      <c r="L10" s="4">
        <v>0.3263888888888889</v>
      </c>
      <c r="M10" s="3" t="s">
        <v>50</v>
      </c>
      <c r="N10" s="3" t="s">
        <v>24</v>
      </c>
      <c r="O10" s="3" t="s">
        <v>25</v>
      </c>
    </row>
    <row r="11" spans="1:15">
      <c r="A11" s="3" t="s">
        <v>15</v>
      </c>
      <c r="B11" s="3" t="str">
        <f>"FES1162739295"</f>
        <v>FES1162739295</v>
      </c>
      <c r="C11" s="3" t="s">
        <v>16</v>
      </c>
      <c r="D11" s="3">
        <v>1</v>
      </c>
      <c r="E11" s="3">
        <v>2170729699</v>
      </c>
      <c r="F11" s="3" t="s">
        <v>17</v>
      </c>
      <c r="G11" s="3" t="s">
        <v>18</v>
      </c>
      <c r="H11" s="3" t="s">
        <v>19</v>
      </c>
      <c r="I11" s="3" t="s">
        <v>51</v>
      </c>
      <c r="J11" s="3" t="s">
        <v>52</v>
      </c>
      <c r="K11" s="3" t="s">
        <v>22</v>
      </c>
      <c r="L11" s="4">
        <v>0.31944444444444448</v>
      </c>
      <c r="M11" s="3" t="s">
        <v>53</v>
      </c>
      <c r="N11" s="3" t="s">
        <v>24</v>
      </c>
      <c r="O11" s="3" t="s">
        <v>25</v>
      </c>
    </row>
    <row r="12" spans="1:15">
      <c r="A12" s="3" t="s">
        <v>15</v>
      </c>
      <c r="B12" s="3" t="str">
        <f>"FES1162739265"</f>
        <v>FES1162739265</v>
      </c>
      <c r="C12" s="3" t="s">
        <v>16</v>
      </c>
      <c r="D12" s="3">
        <v>1</v>
      </c>
      <c r="E12" s="3">
        <v>2170726076</v>
      </c>
      <c r="F12" s="3" t="s">
        <v>17</v>
      </c>
      <c r="G12" s="3" t="s">
        <v>18</v>
      </c>
      <c r="H12" s="3" t="s">
        <v>36</v>
      </c>
      <c r="I12" s="3" t="s">
        <v>37</v>
      </c>
      <c r="J12" s="3" t="s">
        <v>54</v>
      </c>
      <c r="K12" s="3" t="s">
        <v>22</v>
      </c>
      <c r="L12" s="4">
        <v>0.375</v>
      </c>
      <c r="M12" s="3" t="s">
        <v>55</v>
      </c>
      <c r="N12" s="3" t="s">
        <v>24</v>
      </c>
      <c r="O12" s="3" t="s">
        <v>25</v>
      </c>
    </row>
    <row r="13" spans="1:15">
      <c r="A13" s="3" t="s">
        <v>15</v>
      </c>
      <c r="B13" s="3" t="str">
        <f>"FES1162739309"</f>
        <v>FES1162739309</v>
      </c>
      <c r="C13" s="3" t="s">
        <v>16</v>
      </c>
      <c r="D13" s="3">
        <v>1</v>
      </c>
      <c r="E13" s="3">
        <v>2170729155</v>
      </c>
      <c r="F13" s="3" t="s">
        <v>17</v>
      </c>
      <c r="G13" s="3" t="s">
        <v>18</v>
      </c>
      <c r="H13" s="3" t="s">
        <v>19</v>
      </c>
      <c r="I13" s="3" t="s">
        <v>20</v>
      </c>
      <c r="J13" s="3" t="s">
        <v>56</v>
      </c>
      <c r="K13" s="3" t="s">
        <v>22</v>
      </c>
      <c r="L13" s="4">
        <v>0.35625000000000001</v>
      </c>
      <c r="M13" s="3" t="s">
        <v>57</v>
      </c>
      <c r="N13" s="3" t="s">
        <v>24</v>
      </c>
      <c r="O13" s="3" t="s">
        <v>25</v>
      </c>
    </row>
    <row r="14" spans="1:15">
      <c r="A14" s="3" t="s">
        <v>15</v>
      </c>
      <c r="B14" s="3" t="str">
        <f>"FES1162739351"</f>
        <v>FES1162739351</v>
      </c>
      <c r="C14" s="3" t="s">
        <v>16</v>
      </c>
      <c r="D14" s="3">
        <v>1</v>
      </c>
      <c r="E14" s="3">
        <v>2170730008</v>
      </c>
      <c r="F14" s="3" t="s">
        <v>17</v>
      </c>
      <c r="G14" s="3" t="s">
        <v>18</v>
      </c>
      <c r="H14" s="3" t="s">
        <v>19</v>
      </c>
      <c r="I14" s="3" t="s">
        <v>20</v>
      </c>
      <c r="J14" s="3" t="s">
        <v>58</v>
      </c>
      <c r="K14" s="3" t="s">
        <v>22</v>
      </c>
      <c r="L14" s="4">
        <v>0.32361111111111113</v>
      </c>
      <c r="M14" s="3" t="s">
        <v>59</v>
      </c>
      <c r="N14" s="3" t="s">
        <v>24</v>
      </c>
      <c r="O14" s="3" t="s">
        <v>25</v>
      </c>
    </row>
    <row r="15" spans="1:15">
      <c r="A15" s="3" t="s">
        <v>15</v>
      </c>
      <c r="B15" s="3" t="str">
        <f>"FES1162739301"</f>
        <v>FES1162739301</v>
      </c>
      <c r="C15" s="3" t="s">
        <v>16</v>
      </c>
      <c r="D15" s="3">
        <v>1</v>
      </c>
      <c r="E15" s="3">
        <v>2170729781</v>
      </c>
      <c r="F15" s="3" t="s">
        <v>17</v>
      </c>
      <c r="G15" s="3" t="s">
        <v>18</v>
      </c>
      <c r="H15" s="3" t="s">
        <v>40</v>
      </c>
      <c r="I15" s="3" t="s">
        <v>41</v>
      </c>
      <c r="J15" s="3" t="s">
        <v>42</v>
      </c>
      <c r="K15" s="3" t="s">
        <v>22</v>
      </c>
      <c r="L15" s="4">
        <v>0.43055555555555558</v>
      </c>
      <c r="M15" s="3" t="s">
        <v>43</v>
      </c>
      <c r="N15" s="3" t="s">
        <v>24</v>
      </c>
      <c r="O15" s="3" t="s">
        <v>25</v>
      </c>
    </row>
    <row r="16" spans="1:15">
      <c r="A16" s="3" t="s">
        <v>15</v>
      </c>
      <c r="B16" s="3" t="str">
        <f>"FES1162739327"</f>
        <v>FES1162739327</v>
      </c>
      <c r="C16" s="3" t="s">
        <v>16</v>
      </c>
      <c r="D16" s="3">
        <v>1</v>
      </c>
      <c r="E16" s="3">
        <v>2170729662</v>
      </c>
      <c r="F16" s="3" t="s">
        <v>17</v>
      </c>
      <c r="G16" s="3" t="s">
        <v>18</v>
      </c>
      <c r="H16" s="3" t="s">
        <v>19</v>
      </c>
      <c r="I16" s="3" t="s">
        <v>20</v>
      </c>
      <c r="J16" s="3" t="s">
        <v>60</v>
      </c>
      <c r="K16" s="3" t="s">
        <v>22</v>
      </c>
      <c r="L16" s="4">
        <v>0.32013888888888892</v>
      </c>
      <c r="M16" s="3" t="s">
        <v>61</v>
      </c>
      <c r="N16" s="3" t="s">
        <v>24</v>
      </c>
      <c r="O16" s="3" t="s">
        <v>25</v>
      </c>
    </row>
    <row r="17" spans="1:15">
      <c r="A17" s="3" t="s">
        <v>15</v>
      </c>
      <c r="B17" s="3" t="str">
        <f>"FES1162739354"</f>
        <v>FES1162739354</v>
      </c>
      <c r="C17" s="3" t="s">
        <v>16</v>
      </c>
      <c r="D17" s="3">
        <v>1</v>
      </c>
      <c r="E17" s="3">
        <v>2170729988</v>
      </c>
      <c r="F17" s="3" t="s">
        <v>17</v>
      </c>
      <c r="G17" s="3" t="s">
        <v>18</v>
      </c>
      <c r="H17" s="3" t="s">
        <v>46</v>
      </c>
      <c r="I17" s="3" t="s">
        <v>47</v>
      </c>
      <c r="J17" s="3" t="s">
        <v>62</v>
      </c>
      <c r="K17" s="3" t="s">
        <v>22</v>
      </c>
      <c r="L17" s="4">
        <v>0.42291666666666666</v>
      </c>
      <c r="M17" s="3" t="s">
        <v>63</v>
      </c>
      <c r="N17" s="3" t="s">
        <v>24</v>
      </c>
      <c r="O17" s="3" t="s">
        <v>25</v>
      </c>
    </row>
    <row r="18" spans="1:15">
      <c r="A18" s="3" t="s">
        <v>15</v>
      </c>
      <c r="B18" s="3" t="str">
        <f>"FES1162739353"</f>
        <v>FES1162739353</v>
      </c>
      <c r="C18" s="3" t="s">
        <v>16</v>
      </c>
      <c r="D18" s="3">
        <v>1</v>
      </c>
      <c r="E18" s="3">
        <v>2170729648</v>
      </c>
      <c r="F18" s="3" t="s">
        <v>17</v>
      </c>
      <c r="G18" s="3" t="s">
        <v>18</v>
      </c>
      <c r="H18" s="3" t="s">
        <v>19</v>
      </c>
      <c r="I18" s="3" t="s">
        <v>51</v>
      </c>
      <c r="J18" s="3" t="s">
        <v>64</v>
      </c>
      <c r="K18" s="3" t="s">
        <v>22</v>
      </c>
      <c r="L18" s="4">
        <v>0.41388888888888892</v>
      </c>
      <c r="M18" s="3" t="s">
        <v>65</v>
      </c>
      <c r="N18" s="3" t="s">
        <v>24</v>
      </c>
      <c r="O18" s="3" t="s">
        <v>25</v>
      </c>
    </row>
    <row r="19" spans="1:15">
      <c r="A19" s="3" t="s">
        <v>15</v>
      </c>
      <c r="B19" s="3" t="str">
        <f>"FES1162739326"</f>
        <v>FES1162739326</v>
      </c>
      <c r="C19" s="3" t="s">
        <v>16</v>
      </c>
      <c r="D19" s="3">
        <v>1</v>
      </c>
      <c r="E19" s="3">
        <v>2170730855</v>
      </c>
      <c r="F19" s="3" t="s">
        <v>17</v>
      </c>
      <c r="G19" s="3" t="s">
        <v>18</v>
      </c>
      <c r="H19" s="3" t="s">
        <v>66</v>
      </c>
      <c r="I19" s="3" t="s">
        <v>67</v>
      </c>
      <c r="J19" s="3" t="s">
        <v>68</v>
      </c>
      <c r="K19" s="3" t="s">
        <v>22</v>
      </c>
      <c r="L19" s="4">
        <v>0.39583333333333331</v>
      </c>
      <c r="M19" s="3" t="s">
        <v>69</v>
      </c>
      <c r="N19" s="3" t="s">
        <v>24</v>
      </c>
      <c r="O19" s="3" t="s">
        <v>25</v>
      </c>
    </row>
    <row r="20" spans="1:15">
      <c r="A20" s="5" t="s">
        <v>15</v>
      </c>
      <c r="B20" s="5" t="str">
        <f>"FES1162739381"</f>
        <v>FES1162739381</v>
      </c>
      <c r="C20" s="5" t="s">
        <v>16</v>
      </c>
      <c r="D20" s="5">
        <v>1</v>
      </c>
      <c r="E20" s="5">
        <v>2170729521</v>
      </c>
      <c r="F20" s="5" t="s">
        <v>17</v>
      </c>
      <c r="G20" s="5" t="s">
        <v>18</v>
      </c>
      <c r="H20" s="5" t="s">
        <v>70</v>
      </c>
      <c r="I20" s="5" t="s">
        <v>71</v>
      </c>
      <c r="J20" s="5" t="s">
        <v>72</v>
      </c>
      <c r="K20" s="5" t="s">
        <v>22</v>
      </c>
      <c r="L20" s="6">
        <v>0.37222222222222223</v>
      </c>
      <c r="M20" s="5" t="s">
        <v>73</v>
      </c>
      <c r="N20" s="5" t="s">
        <v>24</v>
      </c>
      <c r="O20" s="5" t="s">
        <v>25</v>
      </c>
    </row>
    <row r="21" spans="1:15">
      <c r="A21" s="5" t="s">
        <v>15</v>
      </c>
      <c r="B21" s="5" t="str">
        <f>"FES1162739285"</f>
        <v>FES1162739285</v>
      </c>
      <c r="C21" s="5" t="s">
        <v>16</v>
      </c>
      <c r="D21" s="5">
        <v>2</v>
      </c>
      <c r="E21" s="5">
        <v>21707292741</v>
      </c>
      <c r="F21" s="5" t="s">
        <v>17</v>
      </c>
      <c r="G21" s="5" t="s">
        <v>18</v>
      </c>
      <c r="H21" s="5" t="s">
        <v>18</v>
      </c>
      <c r="I21" s="5" t="s">
        <v>29</v>
      </c>
      <c r="J21" s="5" t="s">
        <v>74</v>
      </c>
      <c r="K21" s="5" t="s">
        <v>22</v>
      </c>
      <c r="L21" s="6">
        <v>0.4375</v>
      </c>
      <c r="M21" s="5" t="s">
        <v>75</v>
      </c>
      <c r="N21" s="5" t="s">
        <v>24</v>
      </c>
      <c r="O21" s="5" t="s">
        <v>25</v>
      </c>
    </row>
    <row r="22" spans="1:15">
      <c r="A22" s="5" t="s">
        <v>15</v>
      </c>
      <c r="B22" s="5" t="str">
        <f>"FES1162739297"</f>
        <v>FES1162739297</v>
      </c>
      <c r="C22" s="5" t="s">
        <v>16</v>
      </c>
      <c r="D22" s="5">
        <v>1</v>
      </c>
      <c r="E22" s="5">
        <v>2170730939</v>
      </c>
      <c r="F22" s="5" t="s">
        <v>17</v>
      </c>
      <c r="G22" s="5" t="s">
        <v>18</v>
      </c>
      <c r="H22" s="5" t="s">
        <v>18</v>
      </c>
      <c r="I22" s="5" t="s">
        <v>26</v>
      </c>
      <c r="J22" s="5" t="s">
        <v>76</v>
      </c>
      <c r="K22" s="5" t="s">
        <v>77</v>
      </c>
      <c r="L22" s="6">
        <v>0.33333333333333331</v>
      </c>
      <c r="M22" s="5" t="s">
        <v>78</v>
      </c>
      <c r="N22" s="5" t="s">
        <v>24</v>
      </c>
      <c r="O22" s="5" t="s">
        <v>25</v>
      </c>
    </row>
    <row r="23" spans="1:15">
      <c r="A23" s="5" t="s">
        <v>15</v>
      </c>
      <c r="B23" s="5" t="str">
        <f>"FES1162739329"</f>
        <v>FES1162739329</v>
      </c>
      <c r="C23" s="5" t="s">
        <v>16</v>
      </c>
      <c r="D23" s="5">
        <v>1</v>
      </c>
      <c r="E23" s="5">
        <v>217073759</v>
      </c>
      <c r="F23" s="5" t="s">
        <v>17</v>
      </c>
      <c r="G23" s="5" t="s">
        <v>18</v>
      </c>
      <c r="H23" s="5" t="s">
        <v>19</v>
      </c>
      <c r="I23" s="5" t="s">
        <v>20</v>
      </c>
      <c r="J23" s="5" t="s">
        <v>60</v>
      </c>
      <c r="K23" s="5" t="s">
        <v>22</v>
      </c>
      <c r="L23" s="6">
        <v>0.32013888888888892</v>
      </c>
      <c r="M23" s="5" t="s">
        <v>61</v>
      </c>
      <c r="N23" s="5" t="s">
        <v>24</v>
      </c>
      <c r="O23" s="5" t="s">
        <v>25</v>
      </c>
    </row>
    <row r="24" spans="1:15">
      <c r="A24" s="5" t="s">
        <v>15</v>
      </c>
      <c r="B24" s="5" t="str">
        <f>"FES1162739279"</f>
        <v>FES1162739279</v>
      </c>
      <c r="C24" s="5" t="s">
        <v>16</v>
      </c>
      <c r="D24" s="5">
        <v>2</v>
      </c>
      <c r="E24" s="5">
        <v>21701728403</v>
      </c>
      <c r="F24" s="5" t="s">
        <v>17</v>
      </c>
      <c r="G24" s="5" t="s">
        <v>18</v>
      </c>
      <c r="H24" s="5" t="s">
        <v>70</v>
      </c>
      <c r="I24" s="5" t="s">
        <v>71</v>
      </c>
      <c r="J24" s="5" t="s">
        <v>79</v>
      </c>
      <c r="K24" s="5" t="s">
        <v>22</v>
      </c>
      <c r="L24" s="6">
        <v>0.32013888888888892</v>
      </c>
      <c r="M24" s="5" t="s">
        <v>80</v>
      </c>
      <c r="N24" s="5" t="s">
        <v>24</v>
      </c>
      <c r="O24" s="5" t="s">
        <v>81</v>
      </c>
    </row>
    <row r="25" spans="1:15">
      <c r="A25" s="5" t="s">
        <v>15</v>
      </c>
      <c r="B25" s="5" t="str">
        <f>"FES1162739364"</f>
        <v>FES1162739364</v>
      </c>
      <c r="C25" s="5" t="s">
        <v>16</v>
      </c>
      <c r="D25" s="5">
        <v>1</v>
      </c>
      <c r="E25" s="5">
        <v>2170728282</v>
      </c>
      <c r="F25" s="5" t="s">
        <v>17</v>
      </c>
      <c r="G25" s="5" t="s">
        <v>18</v>
      </c>
      <c r="H25" s="5" t="s">
        <v>46</v>
      </c>
      <c r="I25" s="5" t="s">
        <v>47</v>
      </c>
      <c r="J25" s="5" t="s">
        <v>82</v>
      </c>
      <c r="K25" s="5" t="s">
        <v>22</v>
      </c>
      <c r="L25" s="6">
        <v>0.43402777777777773</v>
      </c>
      <c r="M25" s="5" t="s">
        <v>83</v>
      </c>
      <c r="N25" s="5" t="s">
        <v>24</v>
      </c>
      <c r="O25" s="5" t="s">
        <v>25</v>
      </c>
    </row>
    <row r="26" spans="1:15">
      <c r="A26" s="5" t="s">
        <v>15</v>
      </c>
      <c r="B26" s="5" t="str">
        <f>"FES1162739346"</f>
        <v>FES1162739346</v>
      </c>
      <c r="C26" s="5" t="s">
        <v>16</v>
      </c>
      <c r="D26" s="5">
        <v>1</v>
      </c>
      <c r="E26" s="5">
        <v>2170729558</v>
      </c>
      <c r="F26" s="5" t="s">
        <v>17</v>
      </c>
      <c r="G26" s="5" t="s">
        <v>18</v>
      </c>
      <c r="H26" s="5" t="s">
        <v>19</v>
      </c>
      <c r="I26" s="5" t="s">
        <v>20</v>
      </c>
      <c r="J26" s="5" t="s">
        <v>84</v>
      </c>
      <c r="K26" s="5" t="s">
        <v>22</v>
      </c>
      <c r="L26" s="6">
        <v>0.38819444444444445</v>
      </c>
      <c r="M26" s="5" t="s">
        <v>85</v>
      </c>
      <c r="N26" s="5" t="s">
        <v>24</v>
      </c>
      <c r="O26" s="5" t="s">
        <v>25</v>
      </c>
    </row>
    <row r="27" spans="1:15">
      <c r="A27" s="5" t="s">
        <v>15</v>
      </c>
      <c r="B27" s="5" t="str">
        <f>"FES1162739291"</f>
        <v>FES1162739291</v>
      </c>
      <c r="C27" s="5" t="s">
        <v>16</v>
      </c>
      <c r="D27" s="5">
        <v>1</v>
      </c>
      <c r="E27" s="5">
        <v>2170728531</v>
      </c>
      <c r="F27" s="5" t="s">
        <v>17</v>
      </c>
      <c r="G27" s="5" t="s">
        <v>18</v>
      </c>
      <c r="H27" s="5" t="s">
        <v>19</v>
      </c>
      <c r="I27" s="5" t="s">
        <v>86</v>
      </c>
      <c r="J27" s="5" t="s">
        <v>87</v>
      </c>
      <c r="K27" s="5" t="s">
        <v>22</v>
      </c>
      <c r="L27" s="6">
        <v>0.3743055555555555</v>
      </c>
      <c r="M27" s="5" t="s">
        <v>88</v>
      </c>
      <c r="N27" s="5" t="s">
        <v>24</v>
      </c>
      <c r="O27" s="5" t="s">
        <v>25</v>
      </c>
    </row>
    <row r="28" spans="1:15">
      <c r="A28" s="3" t="s">
        <v>15</v>
      </c>
      <c r="B28" s="3" t="str">
        <f>"FES1162739356"</f>
        <v>FES1162739356</v>
      </c>
      <c r="C28" s="3" t="s">
        <v>16</v>
      </c>
      <c r="D28" s="3">
        <v>1</v>
      </c>
      <c r="E28" s="3">
        <v>2170729998</v>
      </c>
      <c r="F28" s="3" t="s">
        <v>17</v>
      </c>
      <c r="G28" s="3" t="s">
        <v>18</v>
      </c>
      <c r="H28" s="3" t="s">
        <v>19</v>
      </c>
      <c r="I28" s="3" t="s">
        <v>51</v>
      </c>
      <c r="J28" s="3" t="s">
        <v>89</v>
      </c>
      <c r="K28" s="3" t="s">
        <v>22</v>
      </c>
      <c r="L28" s="4">
        <v>0.36944444444444446</v>
      </c>
      <c r="M28" s="3" t="s">
        <v>90</v>
      </c>
      <c r="N28" s="3" t="s">
        <v>24</v>
      </c>
      <c r="O28" s="3" t="s">
        <v>25</v>
      </c>
    </row>
    <row r="29" spans="1:15">
      <c r="A29" s="3" t="s">
        <v>15</v>
      </c>
      <c r="B29" s="3" t="str">
        <f>"FES1162739266"</f>
        <v>FES1162739266</v>
      </c>
      <c r="C29" s="3" t="s">
        <v>16</v>
      </c>
      <c r="D29" s="3">
        <v>1</v>
      </c>
      <c r="E29" s="3">
        <v>2170728614</v>
      </c>
      <c r="F29" s="3" t="s">
        <v>17</v>
      </c>
      <c r="G29" s="3" t="s">
        <v>18</v>
      </c>
      <c r="H29" s="3" t="s">
        <v>36</v>
      </c>
      <c r="I29" s="3" t="s">
        <v>37</v>
      </c>
      <c r="J29" s="3" t="s">
        <v>54</v>
      </c>
      <c r="K29" s="3" t="s">
        <v>22</v>
      </c>
      <c r="L29" s="4">
        <v>0.33333333333333331</v>
      </c>
      <c r="M29" s="3" t="s">
        <v>55</v>
      </c>
      <c r="N29" s="3" t="s">
        <v>24</v>
      </c>
      <c r="O29" s="3" t="s">
        <v>25</v>
      </c>
    </row>
    <row r="30" spans="1:15">
      <c r="A30" s="3" t="s">
        <v>15</v>
      </c>
      <c r="B30" s="3" t="str">
        <f>"FES1162739386"</f>
        <v>FES1162739386</v>
      </c>
      <c r="C30" s="3" t="s">
        <v>16</v>
      </c>
      <c r="D30" s="3">
        <v>1</v>
      </c>
      <c r="E30" s="3">
        <v>2170729362</v>
      </c>
      <c r="F30" s="3" t="s">
        <v>17</v>
      </c>
      <c r="G30" s="3" t="s">
        <v>18</v>
      </c>
      <c r="H30" s="3" t="s">
        <v>19</v>
      </c>
      <c r="I30" s="3" t="s">
        <v>51</v>
      </c>
      <c r="J30" s="3" t="s">
        <v>91</v>
      </c>
      <c r="K30" s="3" t="s">
        <v>22</v>
      </c>
      <c r="L30" s="4">
        <v>0.4291666666666667</v>
      </c>
      <c r="M30" s="3" t="s">
        <v>92</v>
      </c>
      <c r="N30" s="3" t="s">
        <v>24</v>
      </c>
      <c r="O30" s="3" t="s">
        <v>25</v>
      </c>
    </row>
    <row r="31" spans="1:15">
      <c r="A31" s="3" t="s">
        <v>15</v>
      </c>
      <c r="B31" s="3" t="str">
        <f>"FES1162739355"</f>
        <v>FES1162739355</v>
      </c>
      <c r="C31" s="3" t="s">
        <v>16</v>
      </c>
      <c r="D31" s="3">
        <v>1</v>
      </c>
      <c r="E31" s="3">
        <v>2170729641</v>
      </c>
      <c r="F31" s="3" t="s">
        <v>17</v>
      </c>
      <c r="G31" s="3" t="s">
        <v>18</v>
      </c>
      <c r="H31" s="3" t="s">
        <v>18</v>
      </c>
      <c r="I31" s="3" t="s">
        <v>33</v>
      </c>
      <c r="J31" s="3" t="s">
        <v>93</v>
      </c>
      <c r="K31" s="3" t="s">
        <v>22</v>
      </c>
      <c r="L31" s="4">
        <v>0.375</v>
      </c>
      <c r="M31" s="3" t="s">
        <v>94</v>
      </c>
      <c r="N31" s="3" t="s">
        <v>24</v>
      </c>
      <c r="O31" s="3" t="s">
        <v>25</v>
      </c>
    </row>
    <row r="32" spans="1:15">
      <c r="A32" s="3" t="s">
        <v>15</v>
      </c>
      <c r="B32" s="3" t="str">
        <f>"FES1162739292"</f>
        <v>FES1162739292</v>
      </c>
      <c r="C32" s="3" t="s">
        <v>16</v>
      </c>
      <c r="D32" s="3">
        <v>1</v>
      </c>
      <c r="E32" s="3">
        <v>2170728533</v>
      </c>
      <c r="F32" s="3" t="s">
        <v>17</v>
      </c>
      <c r="G32" s="3" t="s">
        <v>18</v>
      </c>
      <c r="H32" s="3" t="s">
        <v>19</v>
      </c>
      <c r="I32" s="3" t="s">
        <v>86</v>
      </c>
      <c r="J32" s="3" t="s">
        <v>87</v>
      </c>
      <c r="K32" s="3" t="s">
        <v>22</v>
      </c>
      <c r="L32" s="4">
        <v>0.3743055555555555</v>
      </c>
      <c r="M32" s="3" t="s">
        <v>88</v>
      </c>
      <c r="N32" s="3" t="s">
        <v>24</v>
      </c>
      <c r="O32" s="3" t="s">
        <v>25</v>
      </c>
    </row>
    <row r="33" spans="1:15">
      <c r="A33" s="3" t="s">
        <v>15</v>
      </c>
      <c r="B33" s="3" t="str">
        <f>"FES1162739370"</f>
        <v>FES1162739370</v>
      </c>
      <c r="C33" s="3" t="s">
        <v>16</v>
      </c>
      <c r="D33" s="3">
        <v>1</v>
      </c>
      <c r="E33" s="3">
        <v>2170729985</v>
      </c>
      <c r="F33" s="3" t="s">
        <v>17</v>
      </c>
      <c r="G33" s="3" t="s">
        <v>18</v>
      </c>
      <c r="H33" s="3" t="s">
        <v>36</v>
      </c>
      <c r="I33" s="3" t="s">
        <v>37</v>
      </c>
      <c r="J33" s="3" t="s">
        <v>54</v>
      </c>
      <c r="K33" s="3" t="s">
        <v>22</v>
      </c>
      <c r="L33" s="4">
        <v>0.40972222222222227</v>
      </c>
      <c r="M33" s="3" t="s">
        <v>55</v>
      </c>
      <c r="N33" s="3" t="s">
        <v>24</v>
      </c>
      <c r="O33" s="3" t="s">
        <v>25</v>
      </c>
    </row>
    <row r="34" spans="1:15">
      <c r="A34" s="3" t="s">
        <v>15</v>
      </c>
      <c r="B34" s="3" t="str">
        <f>"FES1162739368"</f>
        <v>FES1162739368</v>
      </c>
      <c r="C34" s="3" t="s">
        <v>16</v>
      </c>
      <c r="D34" s="3">
        <v>1</v>
      </c>
      <c r="E34" s="3">
        <v>2170729633</v>
      </c>
      <c r="F34" s="3" t="s">
        <v>17</v>
      </c>
      <c r="G34" s="3" t="s">
        <v>18</v>
      </c>
      <c r="H34" s="3" t="s">
        <v>19</v>
      </c>
      <c r="I34" s="3" t="s">
        <v>95</v>
      </c>
      <c r="J34" s="3" t="s">
        <v>96</v>
      </c>
      <c r="K34" s="3" t="s">
        <v>22</v>
      </c>
      <c r="L34" s="4">
        <v>0.43888888888888888</v>
      </c>
      <c r="M34" s="3" t="s">
        <v>97</v>
      </c>
      <c r="N34" s="3" t="s">
        <v>24</v>
      </c>
      <c r="O34" s="3" t="s">
        <v>25</v>
      </c>
    </row>
    <row r="35" spans="1:15">
      <c r="A35" s="3" t="s">
        <v>15</v>
      </c>
      <c r="B35" s="3" t="str">
        <f>"FES1162739352"</f>
        <v>FES1162739352</v>
      </c>
      <c r="C35" s="3" t="s">
        <v>16</v>
      </c>
      <c r="D35" s="3">
        <v>1</v>
      </c>
      <c r="E35" s="3">
        <v>2170729141</v>
      </c>
      <c r="F35" s="3" t="s">
        <v>17</v>
      </c>
      <c r="G35" s="3" t="s">
        <v>18</v>
      </c>
      <c r="H35" s="3" t="s">
        <v>19</v>
      </c>
      <c r="I35" s="3" t="s">
        <v>51</v>
      </c>
      <c r="J35" s="3" t="s">
        <v>98</v>
      </c>
      <c r="K35" s="3" t="s">
        <v>22</v>
      </c>
      <c r="L35" s="4">
        <v>0.41666666666666669</v>
      </c>
      <c r="M35" s="3" t="s">
        <v>99</v>
      </c>
      <c r="N35" s="3" t="s">
        <v>24</v>
      </c>
      <c r="O35" s="3" t="s">
        <v>25</v>
      </c>
    </row>
    <row r="36" spans="1:15">
      <c r="A36" s="3" t="s">
        <v>15</v>
      </c>
      <c r="B36" s="3" t="str">
        <f>"FES1162739304"</f>
        <v>FES1162739304</v>
      </c>
      <c r="C36" s="3" t="s">
        <v>16</v>
      </c>
      <c r="D36" s="3">
        <v>1</v>
      </c>
      <c r="E36" s="3">
        <v>2170727596</v>
      </c>
      <c r="F36" s="3" t="s">
        <v>17</v>
      </c>
      <c r="G36" s="3" t="s">
        <v>18</v>
      </c>
      <c r="H36" s="3" t="s">
        <v>100</v>
      </c>
      <c r="I36" s="3" t="s">
        <v>101</v>
      </c>
      <c r="J36" s="3" t="s">
        <v>102</v>
      </c>
      <c r="K36" s="3" t="s">
        <v>22</v>
      </c>
      <c r="L36" s="4">
        <v>0.37083333333333335</v>
      </c>
      <c r="M36" s="3" t="s">
        <v>103</v>
      </c>
      <c r="N36" s="3" t="s">
        <v>24</v>
      </c>
      <c r="O36" s="3" t="s">
        <v>25</v>
      </c>
    </row>
    <row r="37" spans="1:15">
      <c r="A37" s="3" t="s">
        <v>15</v>
      </c>
      <c r="B37" s="3" t="str">
        <f>"FES1162739378"</f>
        <v>FES1162739378</v>
      </c>
      <c r="C37" s="3" t="s">
        <v>16</v>
      </c>
      <c r="D37" s="3">
        <v>1</v>
      </c>
      <c r="E37" s="3">
        <v>2170727613</v>
      </c>
      <c r="F37" s="3" t="s">
        <v>17</v>
      </c>
      <c r="G37" s="3" t="s">
        <v>18</v>
      </c>
      <c r="H37" s="3" t="s">
        <v>19</v>
      </c>
      <c r="I37" s="3" t="s">
        <v>20</v>
      </c>
      <c r="J37" s="3" t="s">
        <v>104</v>
      </c>
      <c r="K37" s="3" t="s">
        <v>22</v>
      </c>
      <c r="L37" s="4">
        <v>0.40277777777777773</v>
      </c>
      <c r="M37" s="3" t="s">
        <v>105</v>
      </c>
      <c r="N37" s="3" t="s">
        <v>24</v>
      </c>
      <c r="O37" s="3" t="s">
        <v>25</v>
      </c>
    </row>
    <row r="38" spans="1:15">
      <c r="A38" s="3" t="s">
        <v>15</v>
      </c>
      <c r="B38" s="3" t="str">
        <f>"FES1162739305"</f>
        <v>FES1162739305</v>
      </c>
      <c r="C38" s="3" t="s">
        <v>16</v>
      </c>
      <c r="D38" s="3">
        <v>1</v>
      </c>
      <c r="E38" s="3">
        <v>2170728526</v>
      </c>
      <c r="F38" s="3" t="s">
        <v>17</v>
      </c>
      <c r="G38" s="3" t="s">
        <v>18</v>
      </c>
      <c r="H38" s="3" t="s">
        <v>19</v>
      </c>
      <c r="I38" s="3" t="s">
        <v>86</v>
      </c>
      <c r="J38" s="3" t="s">
        <v>106</v>
      </c>
      <c r="K38" s="3" t="s">
        <v>77</v>
      </c>
      <c r="L38" s="4">
        <v>0.42708333333333331</v>
      </c>
      <c r="M38" s="3" t="s">
        <v>107</v>
      </c>
      <c r="N38" s="3" t="s">
        <v>24</v>
      </c>
      <c r="O38" s="3" t="s">
        <v>25</v>
      </c>
    </row>
    <row r="39" spans="1:15">
      <c r="A39" s="3" t="s">
        <v>15</v>
      </c>
      <c r="B39" s="3" t="str">
        <f>"FES1162739380"</f>
        <v>FES1162739380</v>
      </c>
      <c r="C39" s="3" t="s">
        <v>16</v>
      </c>
      <c r="D39" s="3">
        <v>3</v>
      </c>
      <c r="E39" s="3">
        <v>2170729538</v>
      </c>
      <c r="F39" s="3" t="s">
        <v>17</v>
      </c>
      <c r="G39" s="3" t="s">
        <v>18</v>
      </c>
      <c r="H39" s="3" t="s">
        <v>46</v>
      </c>
      <c r="I39" s="3" t="s">
        <v>47</v>
      </c>
      <c r="J39" s="3" t="s">
        <v>48</v>
      </c>
      <c r="K39" s="3" t="s">
        <v>22</v>
      </c>
      <c r="L39" s="4">
        <v>0.43263888888888885</v>
      </c>
      <c r="M39" s="3" t="s">
        <v>48</v>
      </c>
      <c r="N39" s="3" t="s">
        <v>24</v>
      </c>
      <c r="O39" s="3" t="s">
        <v>25</v>
      </c>
    </row>
    <row r="40" spans="1:15">
      <c r="A40" s="3" t="s">
        <v>15</v>
      </c>
      <c r="B40" s="3" t="str">
        <f>"FES1162739314"</f>
        <v>FES1162739314</v>
      </c>
      <c r="C40" s="3" t="s">
        <v>16</v>
      </c>
      <c r="D40" s="3">
        <v>1</v>
      </c>
      <c r="E40" s="3">
        <v>21707219162</v>
      </c>
      <c r="F40" s="3" t="s">
        <v>17</v>
      </c>
      <c r="G40" s="3" t="s">
        <v>18</v>
      </c>
      <c r="H40" s="3" t="s">
        <v>36</v>
      </c>
      <c r="I40" s="3" t="s">
        <v>37</v>
      </c>
      <c r="J40" s="3" t="s">
        <v>108</v>
      </c>
      <c r="K40" s="3" t="s">
        <v>22</v>
      </c>
      <c r="L40" s="4">
        <v>0.35000000000000003</v>
      </c>
      <c r="M40" s="3" t="s">
        <v>109</v>
      </c>
      <c r="N40" s="3" t="s">
        <v>24</v>
      </c>
      <c r="O40" s="3" t="s">
        <v>25</v>
      </c>
    </row>
    <row r="41" spans="1:15">
      <c r="A41" s="3" t="s">
        <v>15</v>
      </c>
      <c r="B41" s="3" t="str">
        <f>"FES1162739334"</f>
        <v>FES1162739334</v>
      </c>
      <c r="C41" s="3" t="s">
        <v>16</v>
      </c>
      <c r="D41" s="3">
        <v>1</v>
      </c>
      <c r="E41" s="3" t="s">
        <v>110</v>
      </c>
      <c r="F41" s="3" t="s">
        <v>17</v>
      </c>
      <c r="G41" s="3" t="s">
        <v>18</v>
      </c>
      <c r="H41" s="3" t="s">
        <v>100</v>
      </c>
      <c r="I41" s="3" t="s">
        <v>101</v>
      </c>
      <c r="J41" s="3" t="s">
        <v>111</v>
      </c>
      <c r="K41" s="3" t="s">
        <v>22</v>
      </c>
      <c r="L41" s="4">
        <v>0.37986111111111115</v>
      </c>
      <c r="M41" s="3" t="s">
        <v>112</v>
      </c>
      <c r="N41" s="3" t="s">
        <v>24</v>
      </c>
      <c r="O41" s="3" t="s">
        <v>25</v>
      </c>
    </row>
    <row r="42" spans="1:15">
      <c r="A42" s="3" t="s">
        <v>15</v>
      </c>
      <c r="B42" s="3" t="str">
        <f>"FES1162739294"</f>
        <v>FES1162739294</v>
      </c>
      <c r="C42" s="3" t="s">
        <v>16</v>
      </c>
      <c r="D42" s="3">
        <v>1</v>
      </c>
      <c r="E42" s="3">
        <v>2170729877</v>
      </c>
      <c r="F42" s="3" t="s">
        <v>17</v>
      </c>
      <c r="G42" s="3" t="s">
        <v>18</v>
      </c>
      <c r="H42" s="3" t="s">
        <v>36</v>
      </c>
      <c r="I42" s="3" t="s">
        <v>37</v>
      </c>
      <c r="J42" s="3" t="s">
        <v>113</v>
      </c>
      <c r="K42" s="3" t="s">
        <v>77</v>
      </c>
      <c r="L42" s="4">
        <v>0.41736111111111113</v>
      </c>
      <c r="M42" s="3" t="s">
        <v>114</v>
      </c>
      <c r="N42" s="3" t="s">
        <v>24</v>
      </c>
      <c r="O42" s="3" t="s">
        <v>25</v>
      </c>
    </row>
    <row r="43" spans="1:15">
      <c r="A43" s="3" t="s">
        <v>15</v>
      </c>
      <c r="B43" s="3" t="str">
        <f>"FES1162739273"</f>
        <v>FES1162739273</v>
      </c>
      <c r="C43" s="3" t="s">
        <v>16</v>
      </c>
      <c r="D43" s="3">
        <v>1</v>
      </c>
      <c r="E43" s="3">
        <v>2170727680</v>
      </c>
      <c r="F43" s="3" t="s">
        <v>17</v>
      </c>
      <c r="G43" s="3" t="s">
        <v>18</v>
      </c>
      <c r="H43" s="3" t="s">
        <v>36</v>
      </c>
      <c r="I43" s="3" t="s">
        <v>37</v>
      </c>
      <c r="J43" s="3" t="s">
        <v>115</v>
      </c>
      <c r="K43" s="3" t="s">
        <v>22</v>
      </c>
      <c r="L43" s="4">
        <v>0.34027777777777773</v>
      </c>
      <c r="M43" s="3" t="s">
        <v>116</v>
      </c>
      <c r="N43" s="3" t="s">
        <v>24</v>
      </c>
      <c r="O43" s="3" t="s">
        <v>25</v>
      </c>
    </row>
    <row r="44" spans="1:15">
      <c r="A44" s="3" t="s">
        <v>15</v>
      </c>
      <c r="B44" s="3" t="str">
        <f>"FES1162739282"</f>
        <v>FES1162739282</v>
      </c>
      <c r="C44" s="3" t="s">
        <v>16</v>
      </c>
      <c r="D44" s="3">
        <v>1</v>
      </c>
      <c r="E44" s="3">
        <v>2170728657</v>
      </c>
      <c r="F44" s="3" t="s">
        <v>17</v>
      </c>
      <c r="G44" s="3" t="s">
        <v>18</v>
      </c>
      <c r="H44" s="3" t="s">
        <v>46</v>
      </c>
      <c r="I44" s="3" t="s">
        <v>47</v>
      </c>
      <c r="J44" s="3" t="s">
        <v>48</v>
      </c>
      <c r="K44" s="3" t="s">
        <v>22</v>
      </c>
      <c r="L44" s="4">
        <v>0.43263888888888885</v>
      </c>
      <c r="M44" s="3" t="s">
        <v>48</v>
      </c>
      <c r="N44" s="3" t="s">
        <v>24</v>
      </c>
      <c r="O44" s="3" t="s">
        <v>25</v>
      </c>
    </row>
    <row r="45" spans="1:15">
      <c r="A45" s="3" t="s">
        <v>15</v>
      </c>
      <c r="B45" s="3" t="str">
        <f>"FES1162739360"</f>
        <v>FES1162739360</v>
      </c>
      <c r="C45" s="3" t="s">
        <v>16</v>
      </c>
      <c r="D45" s="3">
        <v>1</v>
      </c>
      <c r="E45" s="3">
        <v>2170729996</v>
      </c>
      <c r="F45" s="3" t="s">
        <v>17</v>
      </c>
      <c r="G45" s="3" t="s">
        <v>18</v>
      </c>
      <c r="H45" s="3" t="s">
        <v>100</v>
      </c>
      <c r="I45" s="3" t="s">
        <v>117</v>
      </c>
      <c r="J45" s="3" t="s">
        <v>118</v>
      </c>
      <c r="K45" s="3" t="s">
        <v>22</v>
      </c>
      <c r="L45" s="4">
        <v>0.48055555555555557</v>
      </c>
      <c r="M45" s="3" t="s">
        <v>119</v>
      </c>
      <c r="N45" s="3" t="s">
        <v>24</v>
      </c>
      <c r="O45" s="3" t="s">
        <v>25</v>
      </c>
    </row>
    <row r="46" spans="1:15">
      <c r="A46" s="3" t="s">
        <v>15</v>
      </c>
      <c r="B46" s="3" t="str">
        <f>"FES1162739299"</f>
        <v>FES1162739299</v>
      </c>
      <c r="C46" s="3" t="s">
        <v>16</v>
      </c>
      <c r="D46" s="3">
        <v>1</v>
      </c>
      <c r="E46" s="3">
        <v>2170729166</v>
      </c>
      <c r="F46" s="3" t="s">
        <v>17</v>
      </c>
      <c r="G46" s="3" t="s">
        <v>18</v>
      </c>
      <c r="H46" s="3" t="s">
        <v>100</v>
      </c>
      <c r="I46" s="3" t="s">
        <v>101</v>
      </c>
      <c r="J46" s="3" t="s">
        <v>120</v>
      </c>
      <c r="K46" s="3" t="s">
        <v>22</v>
      </c>
      <c r="L46" s="4">
        <v>0.37291666666666662</v>
      </c>
      <c r="M46" s="3" t="s">
        <v>121</v>
      </c>
      <c r="N46" s="3" t="s">
        <v>24</v>
      </c>
      <c r="O46" s="3" t="s">
        <v>25</v>
      </c>
    </row>
    <row r="47" spans="1:15">
      <c r="A47" s="3" t="s">
        <v>15</v>
      </c>
      <c r="B47" s="3" t="str">
        <f>"FES1162739361"</f>
        <v>FES1162739361</v>
      </c>
      <c r="C47" s="3" t="s">
        <v>16</v>
      </c>
      <c r="D47" s="3">
        <v>1</v>
      </c>
      <c r="E47" s="3">
        <v>2170729852</v>
      </c>
      <c r="F47" s="3" t="s">
        <v>17</v>
      </c>
      <c r="G47" s="3" t="s">
        <v>18</v>
      </c>
      <c r="H47" s="3" t="s">
        <v>100</v>
      </c>
      <c r="I47" s="3" t="s">
        <v>122</v>
      </c>
      <c r="J47" s="3" t="s">
        <v>123</v>
      </c>
      <c r="K47" s="3" t="s">
        <v>22</v>
      </c>
      <c r="L47" s="4">
        <v>0.41597222222222219</v>
      </c>
      <c r="M47" s="3" t="s">
        <v>124</v>
      </c>
      <c r="N47" s="3" t="s">
        <v>24</v>
      </c>
      <c r="O47" s="3" t="s">
        <v>25</v>
      </c>
    </row>
    <row r="48" spans="1:15">
      <c r="A48" s="3" t="s">
        <v>15</v>
      </c>
      <c r="B48" s="3" t="str">
        <f>"FES1162739319"</f>
        <v>FES1162739319</v>
      </c>
      <c r="C48" s="3" t="s">
        <v>16</v>
      </c>
      <c r="D48" s="3">
        <v>1</v>
      </c>
      <c r="E48" s="3">
        <v>2170729642</v>
      </c>
      <c r="F48" s="3" t="s">
        <v>17</v>
      </c>
      <c r="G48" s="3" t="s">
        <v>18</v>
      </c>
      <c r="H48" s="3" t="s">
        <v>100</v>
      </c>
      <c r="I48" s="3" t="s">
        <v>101</v>
      </c>
      <c r="J48" s="3" t="s">
        <v>125</v>
      </c>
      <c r="K48" s="3" t="s">
        <v>22</v>
      </c>
      <c r="L48" s="4">
        <v>0.31666666666666665</v>
      </c>
      <c r="M48" s="3" t="s">
        <v>126</v>
      </c>
      <c r="N48" s="3" t="s">
        <v>24</v>
      </c>
      <c r="O48" s="3" t="s">
        <v>25</v>
      </c>
    </row>
    <row r="49" spans="1:15">
      <c r="A49" s="3" t="s">
        <v>15</v>
      </c>
      <c r="B49" s="3" t="str">
        <f>"FES1162739315"</f>
        <v>FES1162739315</v>
      </c>
      <c r="C49" s="3" t="s">
        <v>16</v>
      </c>
      <c r="D49" s="3">
        <v>1</v>
      </c>
      <c r="E49" s="3">
        <v>21707265955</v>
      </c>
      <c r="F49" s="3" t="s">
        <v>17</v>
      </c>
      <c r="G49" s="3" t="s">
        <v>18</v>
      </c>
      <c r="H49" s="3" t="s">
        <v>100</v>
      </c>
      <c r="I49" s="3" t="s">
        <v>101</v>
      </c>
      <c r="J49" s="3" t="s">
        <v>127</v>
      </c>
      <c r="K49" s="3" t="s">
        <v>22</v>
      </c>
      <c r="L49" s="4">
        <v>0.35416666666666669</v>
      </c>
      <c r="M49" s="3" t="s">
        <v>128</v>
      </c>
      <c r="N49" s="3" t="s">
        <v>24</v>
      </c>
      <c r="O49" s="3" t="s">
        <v>25</v>
      </c>
    </row>
    <row r="50" spans="1:15">
      <c r="A50" s="3" t="s">
        <v>15</v>
      </c>
      <c r="B50" s="3" t="str">
        <f>"FES1162739372"</f>
        <v>FES1162739372</v>
      </c>
      <c r="C50" s="3" t="s">
        <v>16</v>
      </c>
      <c r="D50" s="3">
        <v>1</v>
      </c>
      <c r="E50" s="3">
        <v>2170730036</v>
      </c>
      <c r="F50" s="3" t="s">
        <v>17</v>
      </c>
      <c r="G50" s="3" t="s">
        <v>18</v>
      </c>
      <c r="H50" s="3" t="s">
        <v>100</v>
      </c>
      <c r="I50" s="3" t="s">
        <v>101</v>
      </c>
      <c r="J50" s="3" t="s">
        <v>129</v>
      </c>
      <c r="K50" s="3" t="s">
        <v>22</v>
      </c>
      <c r="L50" s="4">
        <v>0.35625000000000001</v>
      </c>
      <c r="M50" s="3" t="s">
        <v>130</v>
      </c>
      <c r="N50" s="3" t="s">
        <v>24</v>
      </c>
      <c r="O50" s="3" t="s">
        <v>25</v>
      </c>
    </row>
    <row r="51" spans="1:15">
      <c r="A51" s="3" t="s">
        <v>15</v>
      </c>
      <c r="B51" s="3" t="str">
        <f>"FES1162739337"</f>
        <v>FES1162739337</v>
      </c>
      <c r="C51" s="3" t="s">
        <v>16</v>
      </c>
      <c r="D51" s="3">
        <v>1</v>
      </c>
      <c r="E51" s="3">
        <v>2170727442</v>
      </c>
      <c r="F51" s="3" t="s">
        <v>17</v>
      </c>
      <c r="G51" s="3" t="s">
        <v>18</v>
      </c>
      <c r="H51" s="3" t="s">
        <v>100</v>
      </c>
      <c r="I51" s="3" t="s">
        <v>101</v>
      </c>
      <c r="J51" s="3" t="s">
        <v>131</v>
      </c>
      <c r="K51" s="3" t="s">
        <v>22</v>
      </c>
      <c r="L51" s="4">
        <v>0.39305555555555555</v>
      </c>
      <c r="M51" s="3" t="s">
        <v>132</v>
      </c>
      <c r="N51" s="3" t="s">
        <v>24</v>
      </c>
      <c r="O51" s="3" t="s">
        <v>25</v>
      </c>
    </row>
    <row r="52" spans="1:15">
      <c r="A52" s="3" t="s">
        <v>15</v>
      </c>
      <c r="B52" s="3" t="str">
        <f>"FES1162739287"</f>
        <v>FES1162739287</v>
      </c>
      <c r="C52" s="3" t="s">
        <v>16</v>
      </c>
      <c r="D52" s="3">
        <v>2</v>
      </c>
      <c r="E52" s="3">
        <v>2170729598</v>
      </c>
      <c r="F52" s="3" t="s">
        <v>17</v>
      </c>
      <c r="G52" s="3" t="s">
        <v>18</v>
      </c>
      <c r="H52" s="3" t="s">
        <v>36</v>
      </c>
      <c r="I52" s="3" t="s">
        <v>37</v>
      </c>
      <c r="J52" s="3" t="s">
        <v>133</v>
      </c>
      <c r="K52" s="3" t="s">
        <v>22</v>
      </c>
      <c r="L52" s="4">
        <v>0.41597222222222219</v>
      </c>
      <c r="M52" s="3" t="s">
        <v>134</v>
      </c>
      <c r="N52" s="3" t="s">
        <v>24</v>
      </c>
      <c r="O52" s="3" t="s">
        <v>25</v>
      </c>
    </row>
    <row r="53" spans="1:15">
      <c r="A53" s="3" t="s">
        <v>15</v>
      </c>
      <c r="B53" s="3" t="str">
        <f>"FES1162739318"</f>
        <v>FES1162739318</v>
      </c>
      <c r="C53" s="3" t="s">
        <v>16</v>
      </c>
      <c r="D53" s="3">
        <v>1</v>
      </c>
      <c r="E53" s="3">
        <v>2170729318</v>
      </c>
      <c r="F53" s="3" t="s">
        <v>17</v>
      </c>
      <c r="G53" s="3" t="s">
        <v>18</v>
      </c>
      <c r="H53" s="3" t="s">
        <v>46</v>
      </c>
      <c r="I53" s="3" t="s">
        <v>47</v>
      </c>
      <c r="J53" s="3" t="s">
        <v>135</v>
      </c>
      <c r="K53" s="3" t="s">
        <v>22</v>
      </c>
      <c r="L53" s="4">
        <v>0.42222222222222222</v>
      </c>
      <c r="M53" s="3" t="s">
        <v>136</v>
      </c>
      <c r="N53" s="3" t="s">
        <v>24</v>
      </c>
      <c r="O53" s="3" t="s">
        <v>25</v>
      </c>
    </row>
    <row r="54" spans="1:15">
      <c r="A54" s="3" t="s">
        <v>15</v>
      </c>
      <c r="B54" s="3" t="str">
        <f>"FES1162739268"</f>
        <v>FES1162739268</v>
      </c>
      <c r="C54" s="3" t="s">
        <v>16</v>
      </c>
      <c r="D54" s="3">
        <v>1</v>
      </c>
      <c r="E54" s="3">
        <v>2170730026</v>
      </c>
      <c r="F54" s="3" t="s">
        <v>17</v>
      </c>
      <c r="G54" s="3" t="s">
        <v>18</v>
      </c>
      <c r="H54" s="3" t="s">
        <v>100</v>
      </c>
      <c r="I54" s="3" t="s">
        <v>101</v>
      </c>
      <c r="J54" s="3" t="s">
        <v>137</v>
      </c>
      <c r="K54" s="3" t="s">
        <v>22</v>
      </c>
      <c r="L54" s="4">
        <v>0.47916666666666669</v>
      </c>
      <c r="M54" s="3" t="s">
        <v>83</v>
      </c>
      <c r="N54" s="3" t="s">
        <v>24</v>
      </c>
      <c r="O54" s="3" t="s">
        <v>25</v>
      </c>
    </row>
    <row r="55" spans="1:15">
      <c r="A55" s="3" t="s">
        <v>15</v>
      </c>
      <c r="B55" s="3" t="str">
        <f>"FES1162738984"</f>
        <v>FES1162738984</v>
      </c>
      <c r="C55" s="3" t="s">
        <v>16</v>
      </c>
      <c r="D55" s="3">
        <v>1</v>
      </c>
      <c r="E55" s="3">
        <v>2170728898</v>
      </c>
      <c r="F55" s="3" t="s">
        <v>17</v>
      </c>
      <c r="G55" s="3" t="s">
        <v>18</v>
      </c>
      <c r="H55" s="3" t="s">
        <v>66</v>
      </c>
      <c r="I55" s="3" t="s">
        <v>67</v>
      </c>
      <c r="J55" s="3" t="s">
        <v>138</v>
      </c>
      <c r="K55" s="3" t="s">
        <v>22</v>
      </c>
      <c r="L55" s="4">
        <v>0.39583333333333331</v>
      </c>
      <c r="M55" s="3" t="s">
        <v>139</v>
      </c>
      <c r="N55" s="3" t="s">
        <v>24</v>
      </c>
      <c r="O55" s="3" t="s">
        <v>25</v>
      </c>
    </row>
    <row r="56" spans="1:15">
      <c r="A56" s="3" t="s">
        <v>15</v>
      </c>
      <c r="B56" s="3" t="str">
        <f>"FES1162739192"</f>
        <v>FES1162739192</v>
      </c>
      <c r="C56" s="3" t="s">
        <v>16</v>
      </c>
      <c r="D56" s="3">
        <v>1</v>
      </c>
      <c r="E56" s="3">
        <v>2170727626</v>
      </c>
      <c r="F56" s="3" t="s">
        <v>17</v>
      </c>
      <c r="G56" s="3" t="s">
        <v>18</v>
      </c>
      <c r="H56" s="3" t="s">
        <v>66</v>
      </c>
      <c r="I56" s="3" t="s">
        <v>67</v>
      </c>
      <c r="J56" s="3" t="s">
        <v>140</v>
      </c>
      <c r="K56" s="3" t="s">
        <v>22</v>
      </c>
      <c r="L56" s="4">
        <v>0.33333333333333331</v>
      </c>
      <c r="M56" s="3" t="s">
        <v>141</v>
      </c>
      <c r="N56" s="3" t="s">
        <v>24</v>
      </c>
      <c r="O56" s="3" t="s">
        <v>25</v>
      </c>
    </row>
    <row r="57" spans="1:15">
      <c r="A57" s="3" t="s">
        <v>15</v>
      </c>
      <c r="B57" s="3" t="str">
        <f>"FES1162739270"</f>
        <v>FES1162739270</v>
      </c>
      <c r="C57" s="3" t="s">
        <v>16</v>
      </c>
      <c r="D57" s="3">
        <v>1</v>
      </c>
      <c r="E57" s="3">
        <v>2170730518</v>
      </c>
      <c r="F57" s="3" t="s">
        <v>17</v>
      </c>
      <c r="G57" s="3" t="s">
        <v>18</v>
      </c>
      <c r="H57" s="3" t="s">
        <v>100</v>
      </c>
      <c r="I57" s="3" t="s">
        <v>101</v>
      </c>
      <c r="J57" s="3" t="s">
        <v>142</v>
      </c>
      <c r="K57" s="3" t="s">
        <v>22</v>
      </c>
      <c r="L57" s="4">
        <v>0.3354166666666667</v>
      </c>
      <c r="M57" s="3" t="s">
        <v>143</v>
      </c>
      <c r="N57" s="3" t="s">
        <v>24</v>
      </c>
      <c r="O57" s="3" t="s">
        <v>25</v>
      </c>
    </row>
    <row r="58" spans="1:15">
      <c r="A58" s="3" t="s">
        <v>15</v>
      </c>
      <c r="B58" s="3" t="str">
        <f>"FES1162739341"</f>
        <v>FES1162739341</v>
      </c>
      <c r="C58" s="3" t="s">
        <v>16</v>
      </c>
      <c r="D58" s="3">
        <v>1</v>
      </c>
      <c r="E58" s="3">
        <v>2170730602</v>
      </c>
      <c r="F58" s="3" t="s">
        <v>17</v>
      </c>
      <c r="G58" s="3" t="s">
        <v>18</v>
      </c>
      <c r="H58" s="3" t="s">
        <v>100</v>
      </c>
      <c r="I58" s="3" t="s">
        <v>144</v>
      </c>
      <c r="J58" s="3" t="s">
        <v>145</v>
      </c>
      <c r="K58" s="3" t="s">
        <v>22</v>
      </c>
      <c r="L58" s="4">
        <v>0.42083333333333334</v>
      </c>
      <c r="M58" s="3" t="s">
        <v>146</v>
      </c>
      <c r="N58" s="3" t="s">
        <v>24</v>
      </c>
      <c r="O58" s="3" t="s">
        <v>25</v>
      </c>
    </row>
    <row r="59" spans="1:15">
      <c r="A59" s="3" t="s">
        <v>15</v>
      </c>
      <c r="B59" s="3" t="str">
        <f>"FES1162739254"</f>
        <v>FES1162739254</v>
      </c>
      <c r="C59" s="3" t="s">
        <v>16</v>
      </c>
      <c r="D59" s="3">
        <v>1</v>
      </c>
      <c r="E59" s="3">
        <v>2170730943</v>
      </c>
      <c r="F59" s="3" t="s">
        <v>17</v>
      </c>
      <c r="G59" s="3" t="s">
        <v>18</v>
      </c>
      <c r="H59" s="3" t="s">
        <v>18</v>
      </c>
      <c r="I59" s="3" t="s">
        <v>29</v>
      </c>
      <c r="J59" s="3" t="s">
        <v>147</v>
      </c>
      <c r="K59" s="3" t="s">
        <v>22</v>
      </c>
      <c r="L59" s="4">
        <v>0.28263888888888888</v>
      </c>
      <c r="M59" s="3" t="s">
        <v>148</v>
      </c>
      <c r="N59" s="3" t="s">
        <v>24</v>
      </c>
      <c r="O59" s="3" t="s">
        <v>25</v>
      </c>
    </row>
    <row r="60" spans="1:15">
      <c r="A60" s="3" t="s">
        <v>15</v>
      </c>
      <c r="B60" s="3" t="str">
        <f>"FES1162739283"</f>
        <v>FES1162739283</v>
      </c>
      <c r="C60" s="3" t="s">
        <v>16</v>
      </c>
      <c r="D60" s="3">
        <v>1</v>
      </c>
      <c r="E60" s="3">
        <v>217072923</v>
      </c>
      <c r="F60" s="3" t="s">
        <v>17</v>
      </c>
      <c r="G60" s="3" t="s">
        <v>18</v>
      </c>
      <c r="H60" s="3" t="s">
        <v>18</v>
      </c>
      <c r="I60" s="3" t="s">
        <v>29</v>
      </c>
      <c r="J60" s="3" t="s">
        <v>74</v>
      </c>
      <c r="K60" s="3" t="s">
        <v>22</v>
      </c>
      <c r="L60" s="4">
        <v>0.42430555555555555</v>
      </c>
      <c r="M60" s="3" t="s">
        <v>75</v>
      </c>
      <c r="N60" s="3" t="s">
        <v>24</v>
      </c>
      <c r="O60" s="3" t="s">
        <v>25</v>
      </c>
    </row>
    <row r="61" spans="1:15">
      <c r="A61" s="3" t="s">
        <v>15</v>
      </c>
      <c r="B61" s="3" t="str">
        <f>"FES1162739387"</f>
        <v>FES1162739387</v>
      </c>
      <c r="C61" s="3" t="s">
        <v>16</v>
      </c>
      <c r="D61" s="3">
        <v>1</v>
      </c>
      <c r="E61" s="3">
        <v>2170729345</v>
      </c>
      <c r="F61" s="3" t="s">
        <v>17</v>
      </c>
      <c r="G61" s="3" t="s">
        <v>18</v>
      </c>
      <c r="H61" s="3" t="s">
        <v>46</v>
      </c>
      <c r="I61" s="3" t="s">
        <v>47</v>
      </c>
      <c r="J61" s="3" t="s">
        <v>149</v>
      </c>
      <c r="K61" s="3" t="s">
        <v>22</v>
      </c>
      <c r="L61" s="4">
        <v>0.43472222222222223</v>
      </c>
      <c r="M61" s="3" t="s">
        <v>150</v>
      </c>
      <c r="N61" s="3" t="s">
        <v>24</v>
      </c>
      <c r="O61" s="3" t="s">
        <v>25</v>
      </c>
    </row>
    <row r="62" spans="1:15">
      <c r="A62" s="3" t="s">
        <v>15</v>
      </c>
      <c r="B62" s="3" t="str">
        <f>"FES1162739388"</f>
        <v>FES1162739388</v>
      </c>
      <c r="C62" s="3" t="s">
        <v>16</v>
      </c>
      <c r="D62" s="3">
        <v>1</v>
      </c>
      <c r="E62" s="3">
        <v>2170728162</v>
      </c>
      <c r="F62" s="3" t="s">
        <v>17</v>
      </c>
      <c r="G62" s="3" t="s">
        <v>18</v>
      </c>
      <c r="H62" s="3" t="s">
        <v>18</v>
      </c>
      <c r="I62" s="3" t="s">
        <v>151</v>
      </c>
      <c r="J62" s="3" t="s">
        <v>152</v>
      </c>
      <c r="K62" s="3" t="s">
        <v>22</v>
      </c>
      <c r="L62" s="4">
        <v>0.375</v>
      </c>
      <c r="M62" s="3" t="s">
        <v>153</v>
      </c>
      <c r="N62" s="3" t="s">
        <v>24</v>
      </c>
      <c r="O62" s="3" t="s">
        <v>25</v>
      </c>
    </row>
    <row r="63" spans="1:15">
      <c r="A63" s="3" t="s">
        <v>15</v>
      </c>
      <c r="B63" s="3" t="str">
        <f>"FES1162739342"</f>
        <v>FES1162739342</v>
      </c>
      <c r="C63" s="3" t="s">
        <v>16</v>
      </c>
      <c r="D63" s="3">
        <v>1</v>
      </c>
      <c r="E63" s="3">
        <v>2170729892</v>
      </c>
      <c r="F63" s="3" t="s">
        <v>17</v>
      </c>
      <c r="G63" s="3" t="s">
        <v>18</v>
      </c>
      <c r="H63" s="3" t="s">
        <v>66</v>
      </c>
      <c r="I63" s="3" t="s">
        <v>67</v>
      </c>
      <c r="J63" s="3" t="s">
        <v>140</v>
      </c>
      <c r="K63" s="3" t="s">
        <v>22</v>
      </c>
      <c r="L63" s="4">
        <v>0.33333333333333331</v>
      </c>
      <c r="M63" s="3" t="s">
        <v>141</v>
      </c>
      <c r="N63" s="3" t="s">
        <v>24</v>
      </c>
      <c r="O63" s="3" t="s">
        <v>25</v>
      </c>
    </row>
    <row r="64" spans="1:15">
      <c r="A64" s="3" t="s">
        <v>15</v>
      </c>
      <c r="B64" s="3" t="str">
        <f>"FES1162739343"</f>
        <v>FES1162739343</v>
      </c>
      <c r="C64" s="3" t="s">
        <v>16</v>
      </c>
      <c r="D64" s="3">
        <v>1</v>
      </c>
      <c r="E64" s="3">
        <v>2170727943</v>
      </c>
      <c r="F64" s="3" t="s">
        <v>17</v>
      </c>
      <c r="G64" s="3" t="s">
        <v>18</v>
      </c>
      <c r="H64" s="3" t="s">
        <v>66</v>
      </c>
      <c r="I64" s="3" t="s">
        <v>67</v>
      </c>
      <c r="J64" s="3" t="s">
        <v>140</v>
      </c>
      <c r="K64" s="3" t="s">
        <v>77</v>
      </c>
      <c r="L64" s="4">
        <v>0.34583333333333338</v>
      </c>
      <c r="M64" s="3" t="s">
        <v>154</v>
      </c>
      <c r="N64" s="3" t="s">
        <v>24</v>
      </c>
      <c r="O64" s="3" t="s">
        <v>25</v>
      </c>
    </row>
    <row r="65" spans="1:15">
      <c r="A65" s="3" t="s">
        <v>15</v>
      </c>
      <c r="B65" s="3" t="str">
        <f>"FES1162739349"</f>
        <v>FES1162739349</v>
      </c>
      <c r="C65" s="3" t="s">
        <v>16</v>
      </c>
      <c r="D65" s="3">
        <v>1</v>
      </c>
      <c r="E65" s="3">
        <v>2170729715</v>
      </c>
      <c r="F65" s="3" t="s">
        <v>17</v>
      </c>
      <c r="G65" s="3" t="s">
        <v>18</v>
      </c>
      <c r="H65" s="3" t="s">
        <v>100</v>
      </c>
      <c r="I65" s="3" t="s">
        <v>155</v>
      </c>
      <c r="J65" s="3" t="s">
        <v>156</v>
      </c>
      <c r="K65" s="3" t="s">
        <v>22</v>
      </c>
      <c r="L65" s="4">
        <v>0.53055555555555556</v>
      </c>
      <c r="M65" s="3" t="s">
        <v>157</v>
      </c>
      <c r="N65" s="3" t="s">
        <v>24</v>
      </c>
      <c r="O65" s="3" t="s">
        <v>25</v>
      </c>
    </row>
    <row r="66" spans="1:15">
      <c r="A66" s="3" t="s">
        <v>15</v>
      </c>
      <c r="B66" s="3" t="str">
        <f>"FES1162739358"</f>
        <v>FES1162739358</v>
      </c>
      <c r="C66" s="3" t="s">
        <v>16</v>
      </c>
      <c r="D66" s="3">
        <v>1</v>
      </c>
      <c r="E66" s="3">
        <v>21707279927</v>
      </c>
      <c r="F66" s="3" t="s">
        <v>17</v>
      </c>
      <c r="G66" s="3" t="s">
        <v>18</v>
      </c>
      <c r="H66" s="3" t="s">
        <v>66</v>
      </c>
      <c r="I66" s="3" t="s">
        <v>158</v>
      </c>
      <c r="J66" s="3" t="s">
        <v>159</v>
      </c>
      <c r="K66" s="3" t="s">
        <v>22</v>
      </c>
      <c r="L66" s="4">
        <v>0.64583333333333337</v>
      </c>
      <c r="M66" s="3" t="s">
        <v>160</v>
      </c>
      <c r="N66" s="3" t="s">
        <v>24</v>
      </c>
      <c r="O66" s="3" t="s">
        <v>25</v>
      </c>
    </row>
    <row r="67" spans="1:15">
      <c r="A67" s="3" t="s">
        <v>15</v>
      </c>
      <c r="B67" s="3" t="str">
        <f>"FES1162739284"</f>
        <v>FES1162739284</v>
      </c>
      <c r="C67" s="3" t="s">
        <v>16</v>
      </c>
      <c r="D67" s="3">
        <v>2</v>
      </c>
      <c r="E67" s="3">
        <v>2170729232</v>
      </c>
      <c r="F67" s="3" t="s">
        <v>17</v>
      </c>
      <c r="G67" s="3" t="s">
        <v>18</v>
      </c>
      <c r="H67" s="3" t="s">
        <v>18</v>
      </c>
      <c r="I67" s="3" t="s">
        <v>29</v>
      </c>
      <c r="J67" s="3" t="s">
        <v>74</v>
      </c>
      <c r="K67" s="3" t="s">
        <v>22</v>
      </c>
      <c r="L67" s="4">
        <v>0.4375</v>
      </c>
      <c r="M67" s="3" t="s">
        <v>75</v>
      </c>
      <c r="N67" s="3" t="s">
        <v>24</v>
      </c>
      <c r="O67" s="3" t="s">
        <v>25</v>
      </c>
    </row>
    <row r="68" spans="1:15">
      <c r="A68" s="3" t="s">
        <v>15</v>
      </c>
      <c r="B68" s="3" t="str">
        <f>"FES1162739373"</f>
        <v>FES1162739373</v>
      </c>
      <c r="C68" s="3" t="s">
        <v>16</v>
      </c>
      <c r="D68" s="3">
        <v>1</v>
      </c>
      <c r="E68" s="3">
        <v>2170729556</v>
      </c>
      <c r="F68" s="3" t="s">
        <v>17</v>
      </c>
      <c r="G68" s="3" t="s">
        <v>18</v>
      </c>
      <c r="H68" s="3" t="s">
        <v>100</v>
      </c>
      <c r="I68" s="3" t="s">
        <v>101</v>
      </c>
      <c r="J68" s="3" t="s">
        <v>125</v>
      </c>
      <c r="K68" s="3" t="s">
        <v>22</v>
      </c>
      <c r="L68" s="4">
        <v>0.31666666666666665</v>
      </c>
      <c r="M68" s="3" t="s">
        <v>126</v>
      </c>
      <c r="N68" s="3" t="s">
        <v>24</v>
      </c>
      <c r="O68" s="3" t="s">
        <v>25</v>
      </c>
    </row>
    <row r="69" spans="1:15">
      <c r="A69" s="3" t="s">
        <v>15</v>
      </c>
      <c r="B69" s="3" t="str">
        <f>"FES1162739357"</f>
        <v>FES1162739357</v>
      </c>
      <c r="C69" s="3" t="s">
        <v>16</v>
      </c>
      <c r="D69" s="3">
        <v>1</v>
      </c>
      <c r="E69" s="3">
        <v>2170729463</v>
      </c>
      <c r="F69" s="3" t="s">
        <v>17</v>
      </c>
      <c r="G69" s="3" t="s">
        <v>18</v>
      </c>
      <c r="H69" s="3" t="s">
        <v>46</v>
      </c>
      <c r="I69" s="3" t="s">
        <v>47</v>
      </c>
      <c r="J69" s="3" t="s">
        <v>161</v>
      </c>
      <c r="K69" s="3" t="s">
        <v>22</v>
      </c>
      <c r="L69" s="4">
        <v>0.43402777777777773</v>
      </c>
      <c r="M69" s="3" t="s">
        <v>162</v>
      </c>
      <c r="N69" s="3" t="s">
        <v>24</v>
      </c>
      <c r="O69" s="3" t="s">
        <v>25</v>
      </c>
    </row>
    <row r="70" spans="1:15">
      <c r="A70" s="3" t="s">
        <v>15</v>
      </c>
      <c r="B70" s="3" t="str">
        <f>"FES1162738268"</f>
        <v>FES1162738268</v>
      </c>
      <c r="C70" s="3" t="s">
        <v>16</v>
      </c>
      <c r="D70" s="3">
        <v>1</v>
      </c>
      <c r="E70" s="3">
        <v>21707301487</v>
      </c>
      <c r="F70" s="3" t="s">
        <v>17</v>
      </c>
      <c r="G70" s="3" t="s">
        <v>18</v>
      </c>
      <c r="H70" s="3" t="s">
        <v>18</v>
      </c>
      <c r="I70" s="3" t="s">
        <v>163</v>
      </c>
      <c r="J70" s="3" t="s">
        <v>164</v>
      </c>
      <c r="K70" s="3" t="s">
        <v>22</v>
      </c>
      <c r="L70" s="4">
        <v>0.4381944444444445</v>
      </c>
      <c r="M70" s="3" t="s">
        <v>165</v>
      </c>
      <c r="N70" s="3" t="s">
        <v>24</v>
      </c>
      <c r="O70" s="3" t="s">
        <v>25</v>
      </c>
    </row>
    <row r="71" spans="1:15">
      <c r="A71" s="3" t="s">
        <v>15</v>
      </c>
      <c r="B71" s="3" t="str">
        <f>"FES1162739345"</f>
        <v>FES1162739345</v>
      </c>
      <c r="C71" s="3" t="s">
        <v>16</v>
      </c>
      <c r="D71" s="3">
        <v>1</v>
      </c>
      <c r="E71" s="3">
        <v>2170729569</v>
      </c>
      <c r="F71" s="3" t="s">
        <v>17</v>
      </c>
      <c r="G71" s="3" t="s">
        <v>18</v>
      </c>
      <c r="H71" s="3" t="s">
        <v>66</v>
      </c>
      <c r="I71" s="3" t="s">
        <v>67</v>
      </c>
      <c r="J71" s="3" t="s">
        <v>166</v>
      </c>
      <c r="K71" s="3" t="s">
        <v>22</v>
      </c>
      <c r="L71" s="4">
        <v>0.33333333333333331</v>
      </c>
      <c r="M71" s="3" t="s">
        <v>167</v>
      </c>
      <c r="N71" s="3" t="s">
        <v>24</v>
      </c>
      <c r="O71" s="3" t="s">
        <v>25</v>
      </c>
    </row>
    <row r="72" spans="1:15">
      <c r="A72" s="3" t="s">
        <v>15</v>
      </c>
      <c r="B72" s="3" t="str">
        <f>"FES1162739310"</f>
        <v>FES1162739310</v>
      </c>
      <c r="C72" s="3" t="s">
        <v>16</v>
      </c>
      <c r="D72" s="3">
        <v>1</v>
      </c>
      <c r="E72" s="3">
        <v>2170729863</v>
      </c>
      <c r="F72" s="3" t="s">
        <v>17</v>
      </c>
      <c r="G72" s="3" t="s">
        <v>18</v>
      </c>
      <c r="H72" s="3" t="s">
        <v>18</v>
      </c>
      <c r="I72" s="3" t="s">
        <v>168</v>
      </c>
      <c r="J72" s="3" t="s">
        <v>169</v>
      </c>
      <c r="K72" s="3" t="s">
        <v>22</v>
      </c>
      <c r="L72" s="4">
        <v>0.40972222222222227</v>
      </c>
      <c r="M72" s="3" t="s">
        <v>170</v>
      </c>
      <c r="N72" s="3" t="s">
        <v>24</v>
      </c>
      <c r="O72" s="3" t="s">
        <v>25</v>
      </c>
    </row>
    <row r="73" spans="1:15">
      <c r="A73" s="3" t="s">
        <v>15</v>
      </c>
      <c r="B73" s="3" t="str">
        <f>"FES1162739261"</f>
        <v>FES1162739261</v>
      </c>
      <c r="C73" s="3" t="s">
        <v>16</v>
      </c>
      <c r="D73" s="3">
        <v>1</v>
      </c>
      <c r="E73" s="3">
        <v>2170731061</v>
      </c>
      <c r="F73" s="3" t="s">
        <v>17</v>
      </c>
      <c r="G73" s="3" t="s">
        <v>18</v>
      </c>
      <c r="H73" s="3" t="s">
        <v>18</v>
      </c>
      <c r="I73" s="3" t="s">
        <v>171</v>
      </c>
      <c r="J73" s="3" t="s">
        <v>172</v>
      </c>
      <c r="K73" s="3" t="s">
        <v>22</v>
      </c>
      <c r="L73" s="4">
        <v>0.34861111111111115</v>
      </c>
      <c r="M73" s="3" t="s">
        <v>173</v>
      </c>
      <c r="N73" s="3" t="s">
        <v>24</v>
      </c>
      <c r="O73" s="3" t="s">
        <v>25</v>
      </c>
    </row>
    <row r="74" spans="1:15">
      <c r="A74" s="3" t="s">
        <v>15</v>
      </c>
      <c r="B74" s="3" t="str">
        <f>"FES1162739290"</f>
        <v>FES1162739290</v>
      </c>
      <c r="C74" s="3" t="s">
        <v>16</v>
      </c>
      <c r="D74" s="3">
        <v>1</v>
      </c>
      <c r="E74" s="3">
        <v>2170729818</v>
      </c>
      <c r="F74" s="3" t="s">
        <v>17</v>
      </c>
      <c r="G74" s="3" t="s">
        <v>18</v>
      </c>
      <c r="H74" s="3" t="s">
        <v>36</v>
      </c>
      <c r="I74" s="3" t="s">
        <v>174</v>
      </c>
      <c r="J74" s="3" t="s">
        <v>175</v>
      </c>
      <c r="K74" s="3" t="s">
        <v>22</v>
      </c>
      <c r="L74" s="4">
        <v>0.33333333333333331</v>
      </c>
      <c r="M74" s="3" t="s">
        <v>176</v>
      </c>
      <c r="N74" s="3" t="s">
        <v>24</v>
      </c>
      <c r="O74" s="3" t="s">
        <v>25</v>
      </c>
    </row>
    <row r="75" spans="1:15">
      <c r="A75" s="3" t="s">
        <v>15</v>
      </c>
      <c r="B75" s="3" t="str">
        <f>"FES1162739324"</f>
        <v>FES1162739324</v>
      </c>
      <c r="C75" s="3" t="s">
        <v>16</v>
      </c>
      <c r="D75" s="3">
        <v>1</v>
      </c>
      <c r="E75" s="3">
        <v>2170727286</v>
      </c>
      <c r="F75" s="3" t="s">
        <v>17</v>
      </c>
      <c r="G75" s="3" t="s">
        <v>18</v>
      </c>
      <c r="H75" s="3" t="s">
        <v>66</v>
      </c>
      <c r="I75" s="3" t="s">
        <v>177</v>
      </c>
      <c r="J75" s="3" t="s">
        <v>178</v>
      </c>
      <c r="K75" s="3" t="s">
        <v>22</v>
      </c>
      <c r="L75" s="4">
        <v>0.42083333333333334</v>
      </c>
      <c r="M75" s="3" t="s">
        <v>179</v>
      </c>
      <c r="N75" s="3" t="s">
        <v>24</v>
      </c>
      <c r="O75" s="3" t="s">
        <v>25</v>
      </c>
    </row>
    <row r="76" spans="1:15">
      <c r="A76" s="3" t="s">
        <v>15</v>
      </c>
      <c r="B76" s="3" t="str">
        <f>"FES1162739330"</f>
        <v>FES1162739330</v>
      </c>
      <c r="C76" s="3" t="s">
        <v>16</v>
      </c>
      <c r="D76" s="3">
        <v>1</v>
      </c>
      <c r="E76" s="3">
        <v>2170729226</v>
      </c>
      <c r="F76" s="3" t="s">
        <v>17</v>
      </c>
      <c r="G76" s="3" t="s">
        <v>18</v>
      </c>
      <c r="H76" s="3" t="s">
        <v>18</v>
      </c>
      <c r="I76" s="3" t="s">
        <v>180</v>
      </c>
      <c r="J76" s="3" t="s">
        <v>181</v>
      </c>
      <c r="K76" s="3" t="s">
        <v>22</v>
      </c>
      <c r="L76" s="4">
        <v>0.33333333333333331</v>
      </c>
      <c r="M76" s="3" t="s">
        <v>182</v>
      </c>
      <c r="N76" s="3" t="s">
        <v>24</v>
      </c>
      <c r="O76" s="3" t="s">
        <v>25</v>
      </c>
    </row>
    <row r="77" spans="1:15">
      <c r="A77" s="3" t="s">
        <v>15</v>
      </c>
      <c r="B77" s="3" t="str">
        <f>"FES1162739311"</f>
        <v>FES1162739311</v>
      </c>
      <c r="C77" s="3" t="s">
        <v>16</v>
      </c>
      <c r="D77" s="3">
        <v>1</v>
      </c>
      <c r="E77" s="3" t="s">
        <v>183</v>
      </c>
      <c r="F77" s="3" t="s">
        <v>17</v>
      </c>
      <c r="G77" s="3" t="s">
        <v>18</v>
      </c>
      <c r="H77" s="3" t="s">
        <v>18</v>
      </c>
      <c r="I77" s="3" t="s">
        <v>184</v>
      </c>
      <c r="J77" s="3" t="s">
        <v>185</v>
      </c>
      <c r="K77" s="3" t="s">
        <v>22</v>
      </c>
      <c r="L77" s="4">
        <v>0.43263888888888885</v>
      </c>
      <c r="M77" s="3" t="s">
        <v>186</v>
      </c>
      <c r="N77" s="3" t="s">
        <v>24</v>
      </c>
      <c r="O77" s="3" t="s">
        <v>25</v>
      </c>
    </row>
    <row r="78" spans="1:15">
      <c r="A78" s="3" t="s">
        <v>15</v>
      </c>
      <c r="B78" s="3" t="str">
        <f>"FES1162739271"</f>
        <v>FES1162739271</v>
      </c>
      <c r="C78" s="3" t="s">
        <v>16</v>
      </c>
      <c r="D78" s="3">
        <v>1</v>
      </c>
      <c r="E78" s="3">
        <v>2170731064</v>
      </c>
      <c r="F78" s="3" t="s">
        <v>17</v>
      </c>
      <c r="G78" s="3" t="s">
        <v>18</v>
      </c>
      <c r="H78" s="3" t="s">
        <v>18</v>
      </c>
      <c r="I78" s="3" t="s">
        <v>33</v>
      </c>
      <c r="J78" s="3" t="s">
        <v>34</v>
      </c>
      <c r="K78" s="3" t="s">
        <v>22</v>
      </c>
      <c r="L78" s="4">
        <v>0.4069444444444445</v>
      </c>
      <c r="M78" s="3" t="s">
        <v>35</v>
      </c>
      <c r="N78" s="3" t="s">
        <v>24</v>
      </c>
      <c r="O78" s="3" t="s">
        <v>25</v>
      </c>
    </row>
    <row r="79" spans="1:15">
      <c r="A79" s="3" t="s">
        <v>15</v>
      </c>
      <c r="B79" s="3" t="str">
        <f>"FES1162739263"</f>
        <v>FES1162739263</v>
      </c>
      <c r="C79" s="3" t="s">
        <v>16</v>
      </c>
      <c r="D79" s="3">
        <v>1</v>
      </c>
      <c r="E79" s="3">
        <v>2170724922</v>
      </c>
      <c r="F79" s="3" t="s">
        <v>17</v>
      </c>
      <c r="G79" s="3" t="s">
        <v>18</v>
      </c>
      <c r="H79" s="3" t="s">
        <v>36</v>
      </c>
      <c r="I79" s="3" t="s">
        <v>37</v>
      </c>
      <c r="J79" s="3" t="s">
        <v>187</v>
      </c>
      <c r="K79" s="3" t="s">
        <v>22</v>
      </c>
      <c r="L79" s="4">
        <v>0.3527777777777778</v>
      </c>
      <c r="M79" s="3" t="s">
        <v>188</v>
      </c>
      <c r="N79" s="3" t="s">
        <v>24</v>
      </c>
      <c r="O79" s="3" t="s">
        <v>25</v>
      </c>
    </row>
    <row r="80" spans="1:15">
      <c r="A80" s="3" t="s">
        <v>15</v>
      </c>
      <c r="B80" s="3" t="str">
        <f>"FES1162739338"</f>
        <v>FES1162739338</v>
      </c>
      <c r="C80" s="3" t="s">
        <v>16</v>
      </c>
      <c r="D80" s="3">
        <v>1</v>
      </c>
      <c r="E80" s="3">
        <v>2170729809</v>
      </c>
      <c r="F80" s="3" t="s">
        <v>17</v>
      </c>
      <c r="G80" s="3" t="s">
        <v>18</v>
      </c>
      <c r="H80" s="3" t="s">
        <v>18</v>
      </c>
      <c r="I80" s="3" t="s">
        <v>171</v>
      </c>
      <c r="J80" s="3" t="s">
        <v>189</v>
      </c>
      <c r="K80" s="3" t="s">
        <v>22</v>
      </c>
      <c r="L80" s="4">
        <v>0.33333333333333331</v>
      </c>
      <c r="M80" s="3" t="s">
        <v>190</v>
      </c>
      <c r="N80" s="3" t="s">
        <v>24</v>
      </c>
      <c r="O80" s="3" t="s">
        <v>25</v>
      </c>
    </row>
    <row r="81" spans="1:15">
      <c r="A81" s="3" t="s">
        <v>15</v>
      </c>
      <c r="B81" s="3" t="str">
        <f>"FES1162739264"</f>
        <v>FES1162739264</v>
      </c>
      <c r="C81" s="3" t="s">
        <v>16</v>
      </c>
      <c r="D81" s="3">
        <v>1</v>
      </c>
      <c r="E81" s="3">
        <v>2170724923</v>
      </c>
      <c r="F81" s="3" t="s">
        <v>17</v>
      </c>
      <c r="G81" s="3" t="s">
        <v>18</v>
      </c>
      <c r="H81" s="3" t="s">
        <v>36</v>
      </c>
      <c r="I81" s="3" t="s">
        <v>37</v>
      </c>
      <c r="J81" s="3" t="s">
        <v>187</v>
      </c>
      <c r="K81" s="3" t="s">
        <v>22</v>
      </c>
      <c r="L81" s="4">
        <v>0.3527777777777778</v>
      </c>
      <c r="M81" s="3" t="s">
        <v>191</v>
      </c>
      <c r="N81" s="3" t="s">
        <v>24</v>
      </c>
      <c r="O81" s="3" t="s">
        <v>25</v>
      </c>
    </row>
    <row r="82" spans="1:15">
      <c r="A82" s="3" t="s">
        <v>15</v>
      </c>
      <c r="B82" s="3" t="str">
        <f>"FES1162739382"</f>
        <v>FES1162739382</v>
      </c>
      <c r="C82" s="3" t="s">
        <v>16</v>
      </c>
      <c r="D82" s="3">
        <v>1</v>
      </c>
      <c r="E82" s="3">
        <v>217073000023</v>
      </c>
      <c r="F82" s="3" t="s">
        <v>17</v>
      </c>
      <c r="G82" s="3" t="s">
        <v>18</v>
      </c>
      <c r="H82" s="3" t="s">
        <v>66</v>
      </c>
      <c r="I82" s="3" t="s">
        <v>67</v>
      </c>
      <c r="J82" s="3" t="s">
        <v>68</v>
      </c>
      <c r="K82" s="3" t="s">
        <v>22</v>
      </c>
      <c r="L82" s="4">
        <v>0.39583333333333331</v>
      </c>
      <c r="M82" s="3" t="s">
        <v>69</v>
      </c>
      <c r="N82" s="3" t="s">
        <v>24</v>
      </c>
      <c r="O82" s="3" t="s">
        <v>25</v>
      </c>
    </row>
    <row r="83" spans="1:15">
      <c r="A83" s="3" t="s">
        <v>15</v>
      </c>
      <c r="B83" s="3" t="str">
        <f>"FES1162739272"</f>
        <v>FES1162739272</v>
      </c>
      <c r="C83" s="3" t="s">
        <v>16</v>
      </c>
      <c r="D83" s="3">
        <v>1</v>
      </c>
      <c r="E83" s="3">
        <v>2170729372</v>
      </c>
      <c r="F83" s="3" t="s">
        <v>17</v>
      </c>
      <c r="G83" s="3" t="s">
        <v>18</v>
      </c>
      <c r="H83" s="3" t="s">
        <v>18</v>
      </c>
      <c r="I83" s="3" t="s">
        <v>29</v>
      </c>
      <c r="J83" s="3" t="s">
        <v>192</v>
      </c>
      <c r="K83" s="3" t="s">
        <v>22</v>
      </c>
      <c r="L83" s="4">
        <v>0.3430555555555555</v>
      </c>
      <c r="M83" s="3" t="s">
        <v>193</v>
      </c>
      <c r="N83" s="3" t="s">
        <v>24</v>
      </c>
      <c r="O83" s="3" t="s">
        <v>25</v>
      </c>
    </row>
    <row r="84" spans="1:15">
      <c r="A84" s="3" t="s">
        <v>15</v>
      </c>
      <c r="B84" s="3" t="str">
        <f>"FES1162739225"</f>
        <v>FES1162739225</v>
      </c>
      <c r="C84" s="3" t="s">
        <v>16</v>
      </c>
      <c r="D84" s="3">
        <v>1</v>
      </c>
      <c r="E84" s="3">
        <v>2170730920</v>
      </c>
      <c r="F84" s="3" t="s">
        <v>17</v>
      </c>
      <c r="G84" s="3" t="s">
        <v>18</v>
      </c>
      <c r="H84" s="3" t="s">
        <v>18</v>
      </c>
      <c r="I84" s="3" t="s">
        <v>171</v>
      </c>
      <c r="J84" s="3" t="s">
        <v>194</v>
      </c>
      <c r="K84" s="3" t="s">
        <v>22</v>
      </c>
      <c r="L84" s="4">
        <v>0.33888888888888885</v>
      </c>
      <c r="M84" s="3" t="s">
        <v>28</v>
      </c>
      <c r="N84" s="3" t="s">
        <v>24</v>
      </c>
      <c r="O84" s="3" t="s">
        <v>25</v>
      </c>
    </row>
    <row r="85" spans="1:15">
      <c r="A85" s="3" t="s">
        <v>15</v>
      </c>
      <c r="B85" s="3" t="str">
        <f>"FES1162739262"</f>
        <v>FES1162739262</v>
      </c>
      <c r="C85" s="3" t="s">
        <v>16</v>
      </c>
      <c r="D85" s="3">
        <v>1</v>
      </c>
      <c r="E85" s="3">
        <v>2170731063</v>
      </c>
      <c r="F85" s="3" t="s">
        <v>17</v>
      </c>
      <c r="G85" s="3" t="s">
        <v>18</v>
      </c>
      <c r="H85" s="3" t="s">
        <v>100</v>
      </c>
      <c r="I85" s="3" t="s">
        <v>101</v>
      </c>
      <c r="J85" s="3" t="s">
        <v>195</v>
      </c>
      <c r="K85" s="3" t="s">
        <v>22</v>
      </c>
      <c r="L85" s="4">
        <v>0.43888888888888888</v>
      </c>
      <c r="M85" s="3" t="s">
        <v>196</v>
      </c>
      <c r="N85" s="3" t="s">
        <v>24</v>
      </c>
      <c r="O85" s="3" t="s">
        <v>25</v>
      </c>
    </row>
    <row r="86" spans="1:15">
      <c r="A86" s="3" t="s">
        <v>15</v>
      </c>
      <c r="B86" s="3" t="str">
        <f>"FES1162739300"</f>
        <v>FES1162739300</v>
      </c>
      <c r="C86" s="3" t="s">
        <v>16</v>
      </c>
      <c r="D86" s="3">
        <v>1</v>
      </c>
      <c r="E86" s="3">
        <v>2170729563</v>
      </c>
      <c r="F86" s="3" t="s">
        <v>17</v>
      </c>
      <c r="G86" s="3" t="s">
        <v>18</v>
      </c>
      <c r="H86" s="3" t="s">
        <v>18</v>
      </c>
      <c r="I86" s="3" t="s">
        <v>171</v>
      </c>
      <c r="J86" s="3" t="s">
        <v>197</v>
      </c>
      <c r="K86" s="3" t="s">
        <v>22</v>
      </c>
      <c r="L86" s="4">
        <v>0.34027777777777773</v>
      </c>
      <c r="M86" s="3" t="s">
        <v>198</v>
      </c>
      <c r="N86" s="3" t="s">
        <v>24</v>
      </c>
      <c r="O86" s="3" t="s">
        <v>25</v>
      </c>
    </row>
    <row r="87" spans="1:15">
      <c r="A87" s="3" t="s">
        <v>15</v>
      </c>
      <c r="B87" s="3" t="str">
        <f>"FES1162739331"</f>
        <v>FES1162739331</v>
      </c>
      <c r="C87" s="3" t="s">
        <v>16</v>
      </c>
      <c r="D87" s="3">
        <v>1</v>
      </c>
      <c r="E87" s="3">
        <v>21707297333</v>
      </c>
      <c r="F87" s="3" t="s">
        <v>17</v>
      </c>
      <c r="G87" s="3" t="s">
        <v>18</v>
      </c>
      <c r="H87" s="3" t="s">
        <v>19</v>
      </c>
      <c r="I87" s="3" t="s">
        <v>20</v>
      </c>
      <c r="J87" s="3" t="s">
        <v>199</v>
      </c>
      <c r="K87" s="3" t="s">
        <v>22</v>
      </c>
      <c r="L87" s="4">
        <v>0.39583333333333331</v>
      </c>
      <c r="M87" s="3" t="s">
        <v>200</v>
      </c>
      <c r="N87" s="3" t="s">
        <v>24</v>
      </c>
      <c r="O87" s="3" t="s">
        <v>25</v>
      </c>
    </row>
    <row r="88" spans="1:15">
      <c r="A88" s="3" t="s">
        <v>15</v>
      </c>
      <c r="B88" s="3" t="str">
        <f>"FES1162739205"</f>
        <v>FES1162739205</v>
      </c>
      <c r="C88" s="3" t="s">
        <v>16</v>
      </c>
      <c r="D88" s="3">
        <v>1</v>
      </c>
      <c r="E88" s="3">
        <v>2170730794</v>
      </c>
      <c r="F88" s="3" t="s">
        <v>17</v>
      </c>
      <c r="G88" s="3" t="s">
        <v>18</v>
      </c>
      <c r="H88" s="3" t="s">
        <v>66</v>
      </c>
      <c r="I88" s="3" t="s">
        <v>158</v>
      </c>
      <c r="J88" s="3" t="s">
        <v>159</v>
      </c>
      <c r="K88" s="3" t="s">
        <v>22</v>
      </c>
      <c r="L88" s="4">
        <v>0.64583333333333337</v>
      </c>
      <c r="M88" s="3" t="s">
        <v>201</v>
      </c>
      <c r="N88" s="3" t="s">
        <v>24</v>
      </c>
      <c r="O88" s="3" t="s">
        <v>25</v>
      </c>
    </row>
    <row r="89" spans="1:15">
      <c r="A89" s="3" t="s">
        <v>15</v>
      </c>
      <c r="B89" s="3" t="str">
        <f>"FES1162739306"</f>
        <v>FES1162739306</v>
      </c>
      <c r="C89" s="3" t="s">
        <v>16</v>
      </c>
      <c r="D89" s="3">
        <v>1</v>
      </c>
      <c r="E89" s="3">
        <v>2170729802</v>
      </c>
      <c r="F89" s="3" t="s">
        <v>17</v>
      </c>
      <c r="G89" s="3" t="s">
        <v>18</v>
      </c>
      <c r="H89" s="3" t="s">
        <v>18</v>
      </c>
      <c r="I89" s="3" t="s">
        <v>29</v>
      </c>
      <c r="J89" s="3" t="s">
        <v>202</v>
      </c>
      <c r="K89" s="3" t="s">
        <v>22</v>
      </c>
      <c r="L89" s="4">
        <v>0.33333333333333331</v>
      </c>
      <c r="M89" s="3" t="s">
        <v>203</v>
      </c>
      <c r="N89" s="3" t="s">
        <v>24</v>
      </c>
      <c r="O89" s="3" t="s">
        <v>25</v>
      </c>
    </row>
    <row r="90" spans="1:15">
      <c r="A90" s="3" t="s">
        <v>15</v>
      </c>
      <c r="B90" s="3" t="str">
        <f>"FES1162739348"</f>
        <v>FES1162739348</v>
      </c>
      <c r="C90" s="3" t="s">
        <v>16</v>
      </c>
      <c r="D90" s="3">
        <v>1</v>
      </c>
      <c r="E90" s="3">
        <v>2170730010</v>
      </c>
      <c r="F90" s="3" t="s">
        <v>17</v>
      </c>
      <c r="G90" s="3" t="s">
        <v>18</v>
      </c>
      <c r="H90" s="3" t="s">
        <v>18</v>
      </c>
      <c r="I90" s="3" t="s">
        <v>163</v>
      </c>
      <c r="J90" s="3" t="s">
        <v>164</v>
      </c>
      <c r="K90" s="3" t="s">
        <v>22</v>
      </c>
      <c r="L90" s="4">
        <v>0.4381944444444445</v>
      </c>
      <c r="M90" s="3" t="s">
        <v>165</v>
      </c>
      <c r="N90" s="3" t="s">
        <v>24</v>
      </c>
      <c r="O90" s="3" t="s">
        <v>25</v>
      </c>
    </row>
    <row r="91" spans="1:15">
      <c r="A91" s="3" t="s">
        <v>15</v>
      </c>
      <c r="B91" s="3" t="str">
        <f>"FES1162739347"</f>
        <v>FES1162739347</v>
      </c>
      <c r="C91" s="3" t="s">
        <v>16</v>
      </c>
      <c r="D91" s="3">
        <v>1</v>
      </c>
      <c r="E91" s="3">
        <v>2170730523</v>
      </c>
      <c r="F91" s="3" t="s">
        <v>17</v>
      </c>
      <c r="G91" s="3" t="s">
        <v>18</v>
      </c>
      <c r="H91" s="3" t="s">
        <v>18</v>
      </c>
      <c r="I91" s="3" t="s">
        <v>168</v>
      </c>
      <c r="J91" s="3" t="s">
        <v>169</v>
      </c>
      <c r="K91" s="3" t="s">
        <v>22</v>
      </c>
      <c r="L91" s="4">
        <v>0.41111111111111115</v>
      </c>
      <c r="M91" s="3" t="s">
        <v>170</v>
      </c>
      <c r="N91" s="3" t="s">
        <v>24</v>
      </c>
      <c r="O91" s="3" t="s">
        <v>25</v>
      </c>
    </row>
    <row r="92" spans="1:15">
      <c r="A92" s="3" t="s">
        <v>15</v>
      </c>
      <c r="B92" s="3" t="str">
        <f>"FES1162739289"</f>
        <v>FES1162739289</v>
      </c>
      <c r="C92" s="3" t="s">
        <v>16</v>
      </c>
      <c r="D92" s="3">
        <v>1</v>
      </c>
      <c r="E92" s="3">
        <v>2170729636</v>
      </c>
      <c r="F92" s="3" t="s">
        <v>17</v>
      </c>
      <c r="G92" s="3" t="s">
        <v>18</v>
      </c>
      <c r="H92" s="3" t="s">
        <v>18</v>
      </c>
      <c r="I92" s="3" t="s">
        <v>171</v>
      </c>
      <c r="J92" s="3" t="s">
        <v>204</v>
      </c>
      <c r="K92" s="3" t="s">
        <v>22</v>
      </c>
      <c r="L92" s="4">
        <v>0.33333333333333331</v>
      </c>
      <c r="M92" s="3" t="s">
        <v>205</v>
      </c>
      <c r="N92" s="3" t="s">
        <v>24</v>
      </c>
      <c r="O92" s="3" t="s">
        <v>25</v>
      </c>
    </row>
    <row r="93" spans="1:15">
      <c r="A93" s="3" t="s">
        <v>15</v>
      </c>
      <c r="B93" s="3" t="str">
        <f>"FES1162739276"</f>
        <v>FES1162739276</v>
      </c>
      <c r="C93" s="3" t="s">
        <v>16</v>
      </c>
      <c r="D93" s="3">
        <v>1</v>
      </c>
      <c r="E93" s="3">
        <v>2170728806</v>
      </c>
      <c r="F93" s="3" t="s">
        <v>17</v>
      </c>
      <c r="G93" s="3" t="s">
        <v>18</v>
      </c>
      <c r="H93" s="3" t="s">
        <v>18</v>
      </c>
      <c r="I93" s="3" t="s">
        <v>206</v>
      </c>
      <c r="J93" s="3" t="s">
        <v>207</v>
      </c>
      <c r="K93" s="3" t="s">
        <v>22</v>
      </c>
      <c r="L93" s="4">
        <v>0.4375</v>
      </c>
      <c r="M93" s="3" t="s">
        <v>208</v>
      </c>
      <c r="N93" s="3" t="s">
        <v>24</v>
      </c>
      <c r="O93" s="3" t="s">
        <v>25</v>
      </c>
    </row>
    <row r="94" spans="1:15">
      <c r="A94" s="3" t="s">
        <v>15</v>
      </c>
      <c r="B94" s="3" t="str">
        <f>"FES1162739313"</f>
        <v>FES1162739313</v>
      </c>
      <c r="C94" s="3" t="s">
        <v>16</v>
      </c>
      <c r="D94" s="3">
        <v>1</v>
      </c>
      <c r="E94" s="3">
        <v>217030077</v>
      </c>
      <c r="F94" s="3" t="s">
        <v>17</v>
      </c>
      <c r="G94" s="3" t="s">
        <v>18</v>
      </c>
      <c r="H94" s="3" t="s">
        <v>19</v>
      </c>
      <c r="I94" s="3" t="s">
        <v>51</v>
      </c>
      <c r="J94" s="3" t="s">
        <v>209</v>
      </c>
      <c r="K94" s="3" t="s">
        <v>22</v>
      </c>
      <c r="L94" s="4">
        <v>0.36527777777777781</v>
      </c>
      <c r="M94" s="3" t="s">
        <v>210</v>
      </c>
      <c r="N94" s="3" t="s">
        <v>24</v>
      </c>
      <c r="O94" s="3" t="s">
        <v>25</v>
      </c>
    </row>
    <row r="95" spans="1:15">
      <c r="A95" s="3" t="s">
        <v>15</v>
      </c>
      <c r="B95" s="3" t="str">
        <f>"FES1162739227"</f>
        <v>FES1162739227</v>
      </c>
      <c r="C95" s="3" t="s">
        <v>16</v>
      </c>
      <c r="D95" s="3">
        <v>1</v>
      </c>
      <c r="E95" s="3">
        <v>2170731027</v>
      </c>
      <c r="F95" s="3" t="s">
        <v>17</v>
      </c>
      <c r="G95" s="3" t="s">
        <v>18</v>
      </c>
      <c r="H95" s="3" t="s">
        <v>66</v>
      </c>
      <c r="I95" s="3" t="s">
        <v>158</v>
      </c>
      <c r="J95" s="3" t="s">
        <v>159</v>
      </c>
      <c r="K95" s="3" t="s">
        <v>22</v>
      </c>
      <c r="L95" s="4">
        <v>0.64583333333333337</v>
      </c>
      <c r="M95" s="3" t="s">
        <v>211</v>
      </c>
      <c r="N95" s="3" t="s">
        <v>24</v>
      </c>
      <c r="O95" s="3" t="s">
        <v>25</v>
      </c>
    </row>
    <row r="96" spans="1:15">
      <c r="A96" s="3" t="s">
        <v>15</v>
      </c>
      <c r="B96" s="3" t="str">
        <f>"FES1162739317"</f>
        <v>FES1162739317</v>
      </c>
      <c r="C96" s="3" t="s">
        <v>16</v>
      </c>
      <c r="D96" s="3">
        <v>1</v>
      </c>
      <c r="E96" s="3">
        <v>2170729770</v>
      </c>
      <c r="F96" s="3" t="s">
        <v>17</v>
      </c>
      <c r="G96" s="3" t="s">
        <v>18</v>
      </c>
      <c r="H96" s="3" t="s">
        <v>18</v>
      </c>
      <c r="I96" s="3" t="s">
        <v>180</v>
      </c>
      <c r="J96" s="3" t="s">
        <v>212</v>
      </c>
      <c r="K96" s="3" t="s">
        <v>22</v>
      </c>
      <c r="L96" s="4">
        <v>0.39583333333333331</v>
      </c>
      <c r="M96" s="3" t="s">
        <v>213</v>
      </c>
      <c r="N96" s="3" t="s">
        <v>24</v>
      </c>
      <c r="O96" s="3" t="s">
        <v>25</v>
      </c>
    </row>
    <row r="97" spans="1:15">
      <c r="A97" s="3" t="s">
        <v>15</v>
      </c>
      <c r="B97" s="3" t="str">
        <f>"FES1162739288"</f>
        <v>FES1162739288</v>
      </c>
      <c r="C97" s="3" t="s">
        <v>16</v>
      </c>
      <c r="D97" s="3">
        <v>1</v>
      </c>
      <c r="E97" s="3">
        <v>2170729693</v>
      </c>
      <c r="F97" s="3" t="s">
        <v>17</v>
      </c>
      <c r="G97" s="3" t="s">
        <v>18</v>
      </c>
      <c r="H97" s="3" t="s">
        <v>18</v>
      </c>
      <c r="I97" s="3" t="s">
        <v>33</v>
      </c>
      <c r="J97" s="3" t="s">
        <v>34</v>
      </c>
      <c r="K97" s="3" t="s">
        <v>22</v>
      </c>
      <c r="L97" s="4">
        <v>0.40625</v>
      </c>
      <c r="M97" s="3" t="s">
        <v>35</v>
      </c>
      <c r="N97" s="3" t="s">
        <v>24</v>
      </c>
      <c r="O97" s="3" t="s">
        <v>25</v>
      </c>
    </row>
    <row r="98" spans="1:15">
      <c r="A98" s="3" t="s">
        <v>15</v>
      </c>
      <c r="B98" s="3" t="str">
        <f>"FES1162739316"</f>
        <v>FES1162739316</v>
      </c>
      <c r="C98" s="3" t="s">
        <v>16</v>
      </c>
      <c r="D98" s="3">
        <v>1</v>
      </c>
      <c r="E98" s="3">
        <v>2170729618</v>
      </c>
      <c r="F98" s="3" t="s">
        <v>214</v>
      </c>
      <c r="G98" s="3" t="s">
        <v>18</v>
      </c>
      <c r="H98" s="3" t="s">
        <v>18</v>
      </c>
      <c r="I98" s="3" t="s">
        <v>180</v>
      </c>
      <c r="J98" s="3" t="s">
        <v>212</v>
      </c>
      <c r="K98" s="3" t="s">
        <v>22</v>
      </c>
      <c r="L98" s="4">
        <v>0.39583333333333331</v>
      </c>
      <c r="M98" s="3" t="s">
        <v>213</v>
      </c>
      <c r="N98" s="3" t="s">
        <v>24</v>
      </c>
      <c r="O98" s="3" t="s">
        <v>25</v>
      </c>
    </row>
    <row r="99" spans="1:15">
      <c r="A99" s="3" t="s">
        <v>15</v>
      </c>
      <c r="B99" s="3" t="str">
        <f>"FES1162739274"</f>
        <v>FES1162739274</v>
      </c>
      <c r="C99" s="3" t="s">
        <v>16</v>
      </c>
      <c r="D99" s="3">
        <v>3</v>
      </c>
      <c r="E99" s="3">
        <v>2170729092</v>
      </c>
      <c r="F99" s="3" t="s">
        <v>17</v>
      </c>
      <c r="G99" s="3" t="s">
        <v>18</v>
      </c>
      <c r="H99" s="3" t="s">
        <v>36</v>
      </c>
      <c r="I99" s="3" t="s">
        <v>174</v>
      </c>
      <c r="J99" s="3" t="s">
        <v>175</v>
      </c>
      <c r="K99" s="3" t="s">
        <v>22</v>
      </c>
      <c r="L99" s="4">
        <v>0.33333333333333331</v>
      </c>
      <c r="M99" s="3" t="s">
        <v>176</v>
      </c>
      <c r="N99" s="3" t="s">
        <v>24</v>
      </c>
      <c r="O99" s="3" t="s">
        <v>25</v>
      </c>
    </row>
    <row r="100" spans="1:15">
      <c r="A100" s="3" t="s">
        <v>15</v>
      </c>
      <c r="B100" s="3" t="str">
        <f>"FES1162739236"</f>
        <v>FES1162739236</v>
      </c>
      <c r="C100" s="3" t="s">
        <v>16</v>
      </c>
      <c r="D100" s="3">
        <v>1</v>
      </c>
      <c r="E100" s="3">
        <v>2170731035</v>
      </c>
      <c r="F100" s="3" t="s">
        <v>17</v>
      </c>
      <c r="G100" s="3" t="s">
        <v>18</v>
      </c>
      <c r="H100" s="3" t="s">
        <v>215</v>
      </c>
      <c r="I100" s="3" t="s">
        <v>216</v>
      </c>
      <c r="J100" s="3" t="s">
        <v>217</v>
      </c>
      <c r="K100" s="3" t="s">
        <v>22</v>
      </c>
      <c r="L100" s="4">
        <v>0.4375</v>
      </c>
      <c r="M100" s="3" t="s">
        <v>218</v>
      </c>
      <c r="N100" s="3" t="s">
        <v>24</v>
      </c>
      <c r="O100" s="3" t="s">
        <v>25</v>
      </c>
    </row>
    <row r="101" spans="1:15">
      <c r="A101" s="3" t="s">
        <v>15</v>
      </c>
      <c r="B101" s="3" t="str">
        <f>"FES1162739340"</f>
        <v>FES1162739340</v>
      </c>
      <c r="C101" s="3" t="s">
        <v>16</v>
      </c>
      <c r="D101" s="3">
        <v>1</v>
      </c>
      <c r="E101" s="3">
        <v>2170729083</v>
      </c>
      <c r="F101" s="3" t="s">
        <v>17</v>
      </c>
      <c r="G101" s="3" t="s">
        <v>18</v>
      </c>
      <c r="H101" s="3" t="s">
        <v>18</v>
      </c>
      <c r="I101" s="3" t="s">
        <v>180</v>
      </c>
      <c r="J101" s="3" t="s">
        <v>181</v>
      </c>
      <c r="K101" s="3" t="s">
        <v>22</v>
      </c>
      <c r="L101" s="4">
        <v>0.33333333333333331</v>
      </c>
      <c r="M101" s="3" t="s">
        <v>182</v>
      </c>
      <c r="N101" s="3" t="s">
        <v>24</v>
      </c>
      <c r="O101" s="3" t="s">
        <v>25</v>
      </c>
    </row>
    <row r="102" spans="1:15">
      <c r="A102" s="3" t="s">
        <v>15</v>
      </c>
      <c r="B102" s="3" t="str">
        <f>"FES1162739296"</f>
        <v>FES1162739296</v>
      </c>
      <c r="C102" s="3" t="s">
        <v>16</v>
      </c>
      <c r="D102" s="3">
        <v>1</v>
      </c>
      <c r="E102" s="3">
        <v>2170730576</v>
      </c>
      <c r="F102" s="3" t="s">
        <v>17</v>
      </c>
      <c r="G102" s="3" t="s">
        <v>18</v>
      </c>
      <c r="H102" s="3" t="s">
        <v>100</v>
      </c>
      <c r="I102" s="3" t="s">
        <v>101</v>
      </c>
      <c r="J102" s="3" t="s">
        <v>219</v>
      </c>
      <c r="K102" s="3" t="s">
        <v>22</v>
      </c>
      <c r="L102" s="4">
        <v>0.3923611111111111</v>
      </c>
      <c r="M102" s="3" t="s">
        <v>220</v>
      </c>
      <c r="N102" s="3" t="s">
        <v>24</v>
      </c>
      <c r="O102" s="3" t="s">
        <v>25</v>
      </c>
    </row>
    <row r="103" spans="1:15">
      <c r="A103" s="3" t="s">
        <v>15</v>
      </c>
      <c r="B103" s="3" t="str">
        <f>"FES1162739267"</f>
        <v>FES1162739267</v>
      </c>
      <c r="C103" s="3" t="s">
        <v>16</v>
      </c>
      <c r="D103" s="3">
        <v>1</v>
      </c>
      <c r="E103" s="3">
        <v>2170729083</v>
      </c>
      <c r="F103" s="3" t="s">
        <v>17</v>
      </c>
      <c r="G103" s="3" t="s">
        <v>18</v>
      </c>
      <c r="H103" s="3" t="s">
        <v>18</v>
      </c>
      <c r="I103" s="3" t="s">
        <v>180</v>
      </c>
      <c r="J103" s="3" t="s">
        <v>181</v>
      </c>
      <c r="K103" s="3" t="s">
        <v>22</v>
      </c>
      <c r="L103" s="4">
        <v>0.33333333333333331</v>
      </c>
      <c r="M103" s="3" t="s">
        <v>221</v>
      </c>
      <c r="N103" s="3" t="s">
        <v>24</v>
      </c>
      <c r="O103" s="3" t="s">
        <v>25</v>
      </c>
    </row>
    <row r="104" spans="1:15">
      <c r="A104" s="3" t="s">
        <v>15</v>
      </c>
      <c r="B104" s="3" t="str">
        <f>"FES1162739339"</f>
        <v>FES1162739339</v>
      </c>
      <c r="C104" s="3" t="s">
        <v>16</v>
      </c>
      <c r="D104" s="3">
        <v>1</v>
      </c>
      <c r="E104" s="3">
        <v>2170728016</v>
      </c>
      <c r="F104" s="3" t="s">
        <v>17</v>
      </c>
      <c r="G104" s="3" t="s">
        <v>18</v>
      </c>
      <c r="H104" s="3" t="s">
        <v>18</v>
      </c>
      <c r="I104" s="3" t="s">
        <v>171</v>
      </c>
      <c r="J104" s="3" t="s">
        <v>189</v>
      </c>
      <c r="K104" s="3" t="s">
        <v>22</v>
      </c>
      <c r="L104" s="4">
        <v>0.33333333333333331</v>
      </c>
      <c r="M104" s="3" t="s">
        <v>190</v>
      </c>
      <c r="N104" s="3" t="s">
        <v>24</v>
      </c>
      <c r="O104" s="3" t="s">
        <v>25</v>
      </c>
    </row>
    <row r="105" spans="1:15">
      <c r="A105" s="3" t="s">
        <v>15</v>
      </c>
      <c r="B105" s="3" t="str">
        <f>"FES1162739293"</f>
        <v>FES1162739293</v>
      </c>
      <c r="C105" s="3" t="s">
        <v>16</v>
      </c>
      <c r="D105" s="3">
        <v>1</v>
      </c>
      <c r="E105" s="3">
        <v>2170729723</v>
      </c>
      <c r="F105" s="3" t="s">
        <v>17</v>
      </c>
      <c r="G105" s="3" t="s">
        <v>18</v>
      </c>
      <c r="H105" s="3" t="s">
        <v>18</v>
      </c>
      <c r="I105" s="3" t="s">
        <v>171</v>
      </c>
      <c r="J105" s="3" t="s">
        <v>197</v>
      </c>
      <c r="K105" s="3" t="s">
        <v>22</v>
      </c>
      <c r="L105" s="4">
        <v>0.34027777777777773</v>
      </c>
      <c r="M105" s="3" t="s">
        <v>198</v>
      </c>
      <c r="N105" s="3" t="s">
        <v>24</v>
      </c>
      <c r="O105" s="3" t="s">
        <v>25</v>
      </c>
    </row>
    <row r="106" spans="1:15">
      <c r="A106" s="3" t="s">
        <v>15</v>
      </c>
      <c r="B106" s="3" t="str">
        <f>"FES1162739376"</f>
        <v>FES1162739376</v>
      </c>
      <c r="C106" s="3" t="s">
        <v>16</v>
      </c>
      <c r="D106" s="3">
        <v>1</v>
      </c>
      <c r="E106" s="3">
        <v>2170729554</v>
      </c>
      <c r="F106" s="3" t="s">
        <v>17</v>
      </c>
      <c r="G106" s="3" t="s">
        <v>18</v>
      </c>
      <c r="H106" s="3" t="s">
        <v>18</v>
      </c>
      <c r="I106" s="3" t="s">
        <v>222</v>
      </c>
      <c r="J106" s="3" t="s">
        <v>223</v>
      </c>
      <c r="K106" s="3" t="s">
        <v>22</v>
      </c>
      <c r="L106" s="4">
        <v>0.39583333333333331</v>
      </c>
      <c r="M106" s="3" t="s">
        <v>224</v>
      </c>
      <c r="N106" s="3" t="s">
        <v>24</v>
      </c>
      <c r="O106" s="3" t="s">
        <v>25</v>
      </c>
    </row>
    <row r="107" spans="1:15">
      <c r="A107" s="3" t="s">
        <v>15</v>
      </c>
      <c r="B107" s="3" t="str">
        <f>"FES1162739298"</f>
        <v>FES1162739298</v>
      </c>
      <c r="C107" s="3" t="s">
        <v>16</v>
      </c>
      <c r="D107" s="3">
        <v>1</v>
      </c>
      <c r="E107" s="3">
        <v>2170729458</v>
      </c>
      <c r="F107" s="3" t="s">
        <v>17</v>
      </c>
      <c r="G107" s="3" t="s">
        <v>18</v>
      </c>
      <c r="H107" s="3" t="s">
        <v>18</v>
      </c>
      <c r="I107" s="3" t="s">
        <v>29</v>
      </c>
      <c r="J107" s="3" t="s">
        <v>225</v>
      </c>
      <c r="K107" s="3" t="s">
        <v>22</v>
      </c>
      <c r="L107" s="4">
        <v>0.38958333333333334</v>
      </c>
      <c r="M107" s="3" t="s">
        <v>226</v>
      </c>
      <c r="N107" s="3" t="s">
        <v>24</v>
      </c>
      <c r="O107" s="3" t="s">
        <v>25</v>
      </c>
    </row>
    <row r="108" spans="1:15">
      <c r="A108" s="3" t="s">
        <v>15</v>
      </c>
      <c r="B108" s="3" t="str">
        <f>"FES1162739363"</f>
        <v>FES1162739363</v>
      </c>
      <c r="C108" s="3" t="s">
        <v>16</v>
      </c>
      <c r="D108" s="3">
        <v>1</v>
      </c>
      <c r="E108" s="3">
        <v>2170729963</v>
      </c>
      <c r="F108" s="3" t="s">
        <v>17</v>
      </c>
      <c r="G108" s="3" t="s">
        <v>18</v>
      </c>
      <c r="H108" s="3" t="s">
        <v>18</v>
      </c>
      <c r="I108" s="3" t="s">
        <v>33</v>
      </c>
      <c r="J108" s="3" t="s">
        <v>93</v>
      </c>
      <c r="K108" s="3" t="s">
        <v>22</v>
      </c>
      <c r="L108" s="4">
        <v>0.37638888888888888</v>
      </c>
      <c r="M108" s="3" t="s">
        <v>93</v>
      </c>
      <c r="N108" s="3" t="s">
        <v>24</v>
      </c>
      <c r="O108" s="3" t="s">
        <v>25</v>
      </c>
    </row>
    <row r="109" spans="1:15">
      <c r="A109" s="3" t="s">
        <v>15</v>
      </c>
      <c r="B109" s="3" t="str">
        <f>"FES1162739371"</f>
        <v>FES1162739371</v>
      </c>
      <c r="C109" s="3" t="s">
        <v>16</v>
      </c>
      <c r="D109" s="3">
        <v>1</v>
      </c>
      <c r="E109" s="3">
        <v>2170729594</v>
      </c>
      <c r="F109" s="3" t="s">
        <v>17</v>
      </c>
      <c r="G109" s="3" t="s">
        <v>18</v>
      </c>
      <c r="H109" s="3" t="s">
        <v>18</v>
      </c>
      <c r="I109" s="3" t="s">
        <v>26</v>
      </c>
      <c r="J109" s="3" t="s">
        <v>227</v>
      </c>
      <c r="K109" s="3" t="s">
        <v>22</v>
      </c>
      <c r="L109" s="4">
        <v>0.43263888888888885</v>
      </c>
      <c r="M109" s="3" t="s">
        <v>228</v>
      </c>
      <c r="N109" s="3" t="s">
        <v>24</v>
      </c>
      <c r="O109" s="3" t="s">
        <v>25</v>
      </c>
    </row>
    <row r="110" spans="1:15">
      <c r="A110" s="3" t="s">
        <v>15</v>
      </c>
      <c r="B110" s="3" t="str">
        <f>"FES1162739365"</f>
        <v>FES1162739365</v>
      </c>
      <c r="C110" s="3" t="s">
        <v>16</v>
      </c>
      <c r="D110" s="3">
        <v>1</v>
      </c>
      <c r="E110" s="3">
        <v>2170729643</v>
      </c>
      <c r="F110" s="3" t="s">
        <v>17</v>
      </c>
      <c r="G110" s="3" t="s">
        <v>18</v>
      </c>
      <c r="H110" s="3" t="s">
        <v>18</v>
      </c>
      <c r="I110" s="3" t="s">
        <v>33</v>
      </c>
      <c r="J110" s="3" t="s">
        <v>229</v>
      </c>
      <c r="K110" s="3" t="s">
        <v>22</v>
      </c>
      <c r="L110" s="4">
        <v>0.41666666666666669</v>
      </c>
      <c r="M110" s="3" t="s">
        <v>230</v>
      </c>
      <c r="N110" s="3" t="s">
        <v>24</v>
      </c>
      <c r="O110" s="3" t="s">
        <v>25</v>
      </c>
    </row>
    <row r="111" spans="1:15">
      <c r="A111" s="3" t="s">
        <v>15</v>
      </c>
      <c r="B111" s="3" t="str">
        <f>"FES1162739215"</f>
        <v>FES1162739215</v>
      </c>
      <c r="C111" s="3" t="s">
        <v>16</v>
      </c>
      <c r="D111" s="3">
        <v>1</v>
      </c>
      <c r="E111" s="3">
        <v>2170731011</v>
      </c>
      <c r="F111" s="3" t="s">
        <v>17</v>
      </c>
      <c r="G111" s="3" t="s">
        <v>18</v>
      </c>
      <c r="H111" s="3" t="s">
        <v>66</v>
      </c>
      <c r="I111" s="3" t="s">
        <v>177</v>
      </c>
      <c r="J111" s="3" t="s">
        <v>231</v>
      </c>
      <c r="K111" s="3" t="s">
        <v>22</v>
      </c>
      <c r="L111" s="4">
        <v>0.57638888888888895</v>
      </c>
      <c r="M111" s="3" t="s">
        <v>232</v>
      </c>
      <c r="N111" s="3" t="s">
        <v>24</v>
      </c>
      <c r="O111" s="3" t="s">
        <v>25</v>
      </c>
    </row>
    <row r="112" spans="1:15">
      <c r="A112" s="3" t="s">
        <v>15</v>
      </c>
      <c r="B112" s="3" t="str">
        <f>"RFES1162738000"</f>
        <v>RFES1162738000</v>
      </c>
      <c r="C112" s="3" t="s">
        <v>16</v>
      </c>
      <c r="D112" s="3">
        <v>1</v>
      </c>
      <c r="E112" s="3">
        <v>2170730025</v>
      </c>
      <c r="F112" s="3" t="s">
        <v>17</v>
      </c>
      <c r="G112" s="3" t="s">
        <v>18</v>
      </c>
      <c r="H112" s="3" t="s">
        <v>18</v>
      </c>
      <c r="I112" s="3" t="s">
        <v>29</v>
      </c>
      <c r="J112" s="3" t="s">
        <v>30</v>
      </c>
      <c r="K112" s="3" t="s">
        <v>22</v>
      </c>
      <c r="L112" s="4">
        <v>0.37222222222222223</v>
      </c>
      <c r="M112" s="3" t="s">
        <v>31</v>
      </c>
      <c r="N112" s="3" t="s">
        <v>24</v>
      </c>
      <c r="O112" s="3" t="s">
        <v>25</v>
      </c>
    </row>
    <row r="113" spans="1:15">
      <c r="A113" s="3" t="s">
        <v>15</v>
      </c>
      <c r="B113" s="3" t="str">
        <f>"RFES1162737912"</f>
        <v>RFES1162737912</v>
      </c>
      <c r="C113" s="3" t="s">
        <v>16</v>
      </c>
      <c r="D113" s="3">
        <v>1</v>
      </c>
      <c r="E113" s="3">
        <v>2170729931</v>
      </c>
      <c r="F113" s="3" t="s">
        <v>17</v>
      </c>
      <c r="G113" s="3" t="s">
        <v>18</v>
      </c>
      <c r="H113" s="3" t="s">
        <v>18</v>
      </c>
      <c r="I113" s="3" t="s">
        <v>29</v>
      </c>
      <c r="J113" s="3" t="s">
        <v>30</v>
      </c>
      <c r="K113" s="3" t="s">
        <v>22</v>
      </c>
      <c r="L113" s="4">
        <v>0.37777777777777777</v>
      </c>
      <c r="M113" s="3" t="s">
        <v>31</v>
      </c>
      <c r="N113" s="3" t="s">
        <v>24</v>
      </c>
      <c r="O113" s="3" t="s">
        <v>25</v>
      </c>
    </row>
    <row r="114" spans="1:15">
      <c r="A114" s="3" t="s">
        <v>15</v>
      </c>
      <c r="B114" s="3" t="str">
        <f>"FES1162739480"</f>
        <v>FES1162739480</v>
      </c>
      <c r="C114" s="3" t="s">
        <v>16</v>
      </c>
      <c r="D114" s="3">
        <v>1</v>
      </c>
      <c r="E114" s="3">
        <v>21707371173</v>
      </c>
      <c r="F114" s="3" t="s">
        <v>17</v>
      </c>
      <c r="G114" s="3" t="s">
        <v>18</v>
      </c>
      <c r="H114" s="3" t="s">
        <v>46</v>
      </c>
      <c r="I114" s="3" t="s">
        <v>47</v>
      </c>
      <c r="J114" s="3" t="s">
        <v>233</v>
      </c>
      <c r="K114" s="3" t="s">
        <v>22</v>
      </c>
      <c r="L114" s="4">
        <v>0.40069444444444446</v>
      </c>
      <c r="M114" s="3" t="s">
        <v>234</v>
      </c>
      <c r="N114" s="3" t="s">
        <v>24</v>
      </c>
      <c r="O114" s="3" t="s">
        <v>25</v>
      </c>
    </row>
    <row r="115" spans="1:15">
      <c r="A115" s="3" t="s">
        <v>15</v>
      </c>
      <c r="B115" s="3" t="str">
        <f>"FES1162739402"</f>
        <v>FES1162739402</v>
      </c>
      <c r="C115" s="3" t="s">
        <v>16</v>
      </c>
      <c r="D115" s="3">
        <v>1</v>
      </c>
      <c r="E115" s="3">
        <v>2170731071</v>
      </c>
      <c r="F115" s="3" t="s">
        <v>17</v>
      </c>
      <c r="G115" s="3" t="s">
        <v>18</v>
      </c>
      <c r="H115" s="3" t="s">
        <v>19</v>
      </c>
      <c r="I115" s="3" t="s">
        <v>51</v>
      </c>
      <c r="J115" s="3" t="s">
        <v>209</v>
      </c>
      <c r="K115" s="3" t="s">
        <v>22</v>
      </c>
      <c r="L115" s="4">
        <v>0.37777777777777777</v>
      </c>
      <c r="M115" s="3" t="s">
        <v>235</v>
      </c>
      <c r="N115" s="3" t="s">
        <v>24</v>
      </c>
      <c r="O115" s="3" t="s">
        <v>25</v>
      </c>
    </row>
    <row r="116" spans="1:15">
      <c r="A116" s="3" t="s">
        <v>15</v>
      </c>
      <c r="B116" s="3" t="str">
        <f>"FES1162739403"</f>
        <v>FES1162739403</v>
      </c>
      <c r="C116" s="3" t="s">
        <v>16</v>
      </c>
      <c r="D116" s="3">
        <v>1</v>
      </c>
      <c r="E116" s="3">
        <v>2170731072</v>
      </c>
      <c r="F116" s="3" t="s">
        <v>17</v>
      </c>
      <c r="G116" s="3" t="s">
        <v>18</v>
      </c>
      <c r="H116" s="3" t="s">
        <v>19</v>
      </c>
      <c r="I116" s="3" t="s">
        <v>236</v>
      </c>
      <c r="J116" s="3" t="s">
        <v>237</v>
      </c>
      <c r="K116" s="3" t="s">
        <v>22</v>
      </c>
      <c r="L116" s="4">
        <v>0.36736111111111108</v>
      </c>
      <c r="M116" s="3" t="s">
        <v>238</v>
      </c>
      <c r="N116" s="3" t="s">
        <v>24</v>
      </c>
      <c r="O116" s="3" t="s">
        <v>25</v>
      </c>
    </row>
    <row r="117" spans="1:15">
      <c r="A117" s="3" t="s">
        <v>15</v>
      </c>
      <c r="B117" s="3" t="str">
        <f>"FES1162739483"</f>
        <v>FES1162739483</v>
      </c>
      <c r="C117" s="3" t="s">
        <v>16</v>
      </c>
      <c r="D117" s="3">
        <v>1</v>
      </c>
      <c r="E117" s="3">
        <v>2170731176</v>
      </c>
      <c r="F117" s="3" t="s">
        <v>17</v>
      </c>
      <c r="G117" s="3" t="s">
        <v>18</v>
      </c>
      <c r="H117" s="3" t="s">
        <v>46</v>
      </c>
      <c r="I117" s="3" t="s">
        <v>47</v>
      </c>
      <c r="J117" s="3" t="s">
        <v>239</v>
      </c>
      <c r="K117" s="3" t="s">
        <v>22</v>
      </c>
      <c r="L117" s="4">
        <v>0.39374999999999999</v>
      </c>
      <c r="M117" s="3" t="s">
        <v>240</v>
      </c>
      <c r="N117" s="3" t="s">
        <v>24</v>
      </c>
      <c r="O117" s="3" t="s">
        <v>25</v>
      </c>
    </row>
    <row r="118" spans="1:15">
      <c r="A118" s="3" t="s">
        <v>15</v>
      </c>
      <c r="B118" s="3" t="str">
        <f>"FES1162739433"</f>
        <v>FES1162739433</v>
      </c>
      <c r="C118" s="3" t="s">
        <v>16</v>
      </c>
      <c r="D118" s="3">
        <v>1</v>
      </c>
      <c r="E118" s="3">
        <v>2170731114</v>
      </c>
      <c r="F118" s="3" t="s">
        <v>17</v>
      </c>
      <c r="G118" s="3" t="s">
        <v>18</v>
      </c>
      <c r="H118" s="3" t="s">
        <v>46</v>
      </c>
      <c r="I118" s="3" t="s">
        <v>47</v>
      </c>
      <c r="J118" s="3" t="s">
        <v>241</v>
      </c>
      <c r="K118" s="3" t="s">
        <v>22</v>
      </c>
      <c r="L118" s="4">
        <v>0.3888888888888889</v>
      </c>
      <c r="M118" s="3" t="s">
        <v>242</v>
      </c>
      <c r="N118" s="3" t="s">
        <v>24</v>
      </c>
      <c r="O118" s="3" t="s">
        <v>25</v>
      </c>
    </row>
    <row r="119" spans="1:15">
      <c r="A119" s="3" t="s">
        <v>15</v>
      </c>
      <c r="B119" s="3" t="str">
        <f>"FES1162739405"</f>
        <v>FES1162739405</v>
      </c>
      <c r="C119" s="3" t="s">
        <v>16</v>
      </c>
      <c r="D119" s="3">
        <v>1</v>
      </c>
      <c r="E119" s="3">
        <v>2170731075</v>
      </c>
      <c r="F119" s="3" t="s">
        <v>17</v>
      </c>
      <c r="G119" s="3" t="s">
        <v>18</v>
      </c>
      <c r="H119" s="3" t="s">
        <v>70</v>
      </c>
      <c r="I119" s="3" t="s">
        <v>71</v>
      </c>
      <c r="J119" s="3" t="s">
        <v>243</v>
      </c>
      <c r="K119" s="3" t="s">
        <v>22</v>
      </c>
      <c r="L119" s="4">
        <v>0.40833333333333338</v>
      </c>
      <c r="M119" s="3" t="s">
        <v>244</v>
      </c>
      <c r="N119" s="3" t="s">
        <v>24</v>
      </c>
      <c r="O119" s="3" t="s">
        <v>25</v>
      </c>
    </row>
    <row r="120" spans="1:15">
      <c r="A120" s="3" t="s">
        <v>15</v>
      </c>
      <c r="B120" s="3" t="str">
        <f>"009935712341"</f>
        <v>009935712341</v>
      </c>
      <c r="C120" s="3" t="s">
        <v>16</v>
      </c>
      <c r="D120" s="3">
        <v>1</v>
      </c>
      <c r="E120" s="3">
        <v>1162736912</v>
      </c>
      <c r="F120" s="3" t="s">
        <v>17</v>
      </c>
      <c r="G120" s="3" t="s">
        <v>18</v>
      </c>
      <c r="H120" s="3" t="s">
        <v>36</v>
      </c>
      <c r="I120" s="3" t="s">
        <v>174</v>
      </c>
      <c r="J120" s="3" t="s">
        <v>175</v>
      </c>
      <c r="K120" s="3" t="s">
        <v>22</v>
      </c>
      <c r="L120" s="4">
        <v>0.33333333333333331</v>
      </c>
      <c r="M120" s="3" t="s">
        <v>176</v>
      </c>
      <c r="N120" s="3" t="s">
        <v>24</v>
      </c>
      <c r="O120" s="3" t="s">
        <v>245</v>
      </c>
    </row>
    <row r="121" spans="1:15">
      <c r="A121" s="3" t="s">
        <v>15</v>
      </c>
      <c r="B121" s="3" t="str">
        <f>"009935712342"</f>
        <v>009935712342</v>
      </c>
      <c r="C121" s="3" t="s">
        <v>16</v>
      </c>
      <c r="D121" s="3">
        <v>1</v>
      </c>
      <c r="E121" s="3">
        <v>1162737643</v>
      </c>
      <c r="F121" s="3" t="s">
        <v>17</v>
      </c>
      <c r="G121" s="3" t="s">
        <v>18</v>
      </c>
      <c r="H121" s="3" t="s">
        <v>36</v>
      </c>
      <c r="I121" s="3" t="s">
        <v>174</v>
      </c>
      <c r="J121" s="3" t="s">
        <v>175</v>
      </c>
      <c r="K121" s="3" t="s">
        <v>22</v>
      </c>
      <c r="L121" s="4">
        <v>0.33333333333333331</v>
      </c>
      <c r="M121" s="3" t="s">
        <v>176</v>
      </c>
      <c r="N121" s="3" t="s">
        <v>24</v>
      </c>
      <c r="O121" s="3" t="s">
        <v>245</v>
      </c>
    </row>
    <row r="122" spans="1:15">
      <c r="A122" s="3" t="s">
        <v>15</v>
      </c>
      <c r="B122" s="3" t="str">
        <f>"FES1162739401"</f>
        <v>FES1162739401</v>
      </c>
      <c r="C122" s="3" t="s">
        <v>16</v>
      </c>
      <c r="D122" s="3">
        <v>1</v>
      </c>
      <c r="E122" s="3">
        <v>2170731070</v>
      </c>
      <c r="F122" s="3" t="s">
        <v>17</v>
      </c>
      <c r="G122" s="3" t="s">
        <v>18</v>
      </c>
      <c r="H122" s="3" t="s">
        <v>36</v>
      </c>
      <c r="I122" s="3" t="s">
        <v>37</v>
      </c>
      <c r="J122" s="3" t="s">
        <v>133</v>
      </c>
      <c r="K122" s="3" t="s">
        <v>22</v>
      </c>
      <c r="L122" s="4">
        <v>0.41597222222222219</v>
      </c>
      <c r="M122" s="3" t="s">
        <v>134</v>
      </c>
      <c r="N122" s="3" t="s">
        <v>24</v>
      </c>
      <c r="O122" s="3" t="s">
        <v>25</v>
      </c>
    </row>
    <row r="123" spans="1:15">
      <c r="A123" s="3" t="s">
        <v>15</v>
      </c>
      <c r="B123" s="3" t="str">
        <f>"FES1162739204"</f>
        <v>FES1162739204</v>
      </c>
      <c r="C123" s="3" t="s">
        <v>16</v>
      </c>
      <c r="D123" s="3">
        <v>2</v>
      </c>
      <c r="E123" s="3">
        <v>21707294179</v>
      </c>
      <c r="F123" s="3" t="s">
        <v>214</v>
      </c>
      <c r="G123" s="3" t="s">
        <v>18</v>
      </c>
      <c r="H123" s="3" t="s">
        <v>66</v>
      </c>
      <c r="I123" s="3" t="s">
        <v>67</v>
      </c>
      <c r="J123" s="3" t="s">
        <v>246</v>
      </c>
      <c r="K123" s="3" t="s">
        <v>77</v>
      </c>
      <c r="L123" s="4">
        <v>0.50972222222222219</v>
      </c>
      <c r="M123" s="3" t="s">
        <v>247</v>
      </c>
      <c r="N123" s="3" t="s">
        <v>24</v>
      </c>
      <c r="O123" s="3" t="s">
        <v>25</v>
      </c>
    </row>
    <row r="124" spans="1:15">
      <c r="A124" s="3" t="s">
        <v>15</v>
      </c>
      <c r="B124" s="3" t="str">
        <f>"FES1162739411"</f>
        <v>FES1162739411</v>
      </c>
      <c r="C124" s="3" t="s">
        <v>16</v>
      </c>
      <c r="D124" s="3">
        <v>1</v>
      </c>
      <c r="E124" s="3">
        <v>2170731086</v>
      </c>
      <c r="F124" s="3" t="s">
        <v>17</v>
      </c>
      <c r="G124" s="3" t="s">
        <v>18</v>
      </c>
      <c r="H124" s="3" t="s">
        <v>70</v>
      </c>
      <c r="I124" s="3" t="s">
        <v>71</v>
      </c>
      <c r="J124" s="3" t="s">
        <v>248</v>
      </c>
      <c r="K124" s="3" t="s">
        <v>22</v>
      </c>
      <c r="L124" s="4">
        <v>0.40902777777777777</v>
      </c>
      <c r="M124" s="3" t="s">
        <v>249</v>
      </c>
      <c r="N124" s="3" t="s">
        <v>24</v>
      </c>
      <c r="O124" s="3" t="s">
        <v>25</v>
      </c>
    </row>
    <row r="125" spans="1:15">
      <c r="A125" s="3" t="s">
        <v>15</v>
      </c>
      <c r="B125" s="3" t="str">
        <f>"FES1162739259"</f>
        <v>FES1162739259</v>
      </c>
      <c r="C125" s="3" t="s">
        <v>16</v>
      </c>
      <c r="D125" s="3">
        <v>1</v>
      </c>
      <c r="E125" s="3">
        <v>2170730897</v>
      </c>
      <c r="F125" s="3" t="s">
        <v>17</v>
      </c>
      <c r="G125" s="3" t="s">
        <v>18</v>
      </c>
      <c r="H125" s="3" t="s">
        <v>46</v>
      </c>
      <c r="I125" s="3" t="s">
        <v>47</v>
      </c>
      <c r="J125" s="3" t="s">
        <v>62</v>
      </c>
      <c r="K125" s="3" t="s">
        <v>22</v>
      </c>
      <c r="L125" s="4">
        <v>0.42291666666666666</v>
      </c>
      <c r="M125" s="3" t="s">
        <v>63</v>
      </c>
      <c r="N125" s="3" t="s">
        <v>24</v>
      </c>
      <c r="O125" s="3" t="s">
        <v>25</v>
      </c>
    </row>
    <row r="126" spans="1:15">
      <c r="A126" s="3" t="s">
        <v>15</v>
      </c>
      <c r="B126" s="3" t="str">
        <f>"FES1162739476"</f>
        <v>FES1162739476</v>
      </c>
      <c r="C126" s="3" t="s">
        <v>16</v>
      </c>
      <c r="D126" s="3">
        <v>1</v>
      </c>
      <c r="E126" s="3">
        <v>2170730852</v>
      </c>
      <c r="F126" s="3" t="s">
        <v>17</v>
      </c>
      <c r="G126" s="3" t="s">
        <v>18</v>
      </c>
      <c r="H126" s="3" t="s">
        <v>36</v>
      </c>
      <c r="I126" s="3" t="s">
        <v>37</v>
      </c>
      <c r="J126" s="3" t="s">
        <v>187</v>
      </c>
      <c r="K126" s="3" t="s">
        <v>22</v>
      </c>
      <c r="L126" s="4">
        <v>0.3527777777777778</v>
      </c>
      <c r="M126" s="3" t="s">
        <v>191</v>
      </c>
      <c r="N126" s="3" t="s">
        <v>24</v>
      </c>
      <c r="O126" s="3" t="s">
        <v>25</v>
      </c>
    </row>
    <row r="127" spans="1:15">
      <c r="A127" s="3" t="s">
        <v>15</v>
      </c>
      <c r="B127" s="3" t="str">
        <f>"FES1162739416"</f>
        <v>FES1162739416</v>
      </c>
      <c r="C127" s="3" t="s">
        <v>16</v>
      </c>
      <c r="D127" s="3">
        <v>1</v>
      </c>
      <c r="E127" s="3">
        <v>2170731093</v>
      </c>
      <c r="F127" s="3" t="s">
        <v>17</v>
      </c>
      <c r="G127" s="3" t="s">
        <v>18</v>
      </c>
      <c r="H127" s="3" t="s">
        <v>36</v>
      </c>
      <c r="I127" s="3" t="s">
        <v>37</v>
      </c>
      <c r="J127" s="3" t="s">
        <v>115</v>
      </c>
      <c r="K127" s="3" t="s">
        <v>77</v>
      </c>
      <c r="L127" s="4">
        <v>0.3298611111111111</v>
      </c>
      <c r="M127" s="3" t="s">
        <v>116</v>
      </c>
      <c r="N127" s="3" t="s">
        <v>24</v>
      </c>
      <c r="O127" s="3" t="s">
        <v>25</v>
      </c>
    </row>
    <row r="128" spans="1:15">
      <c r="A128" s="3" t="s">
        <v>15</v>
      </c>
      <c r="B128" s="3" t="str">
        <f>"FES1162738949"</f>
        <v>FES1162738949</v>
      </c>
      <c r="C128" s="3" t="s">
        <v>16</v>
      </c>
      <c r="D128" s="3">
        <v>1</v>
      </c>
      <c r="E128" s="3">
        <v>2170729292</v>
      </c>
      <c r="F128" s="3" t="s">
        <v>17</v>
      </c>
      <c r="G128" s="3" t="s">
        <v>18</v>
      </c>
      <c r="H128" s="3" t="s">
        <v>36</v>
      </c>
      <c r="I128" s="3" t="s">
        <v>37</v>
      </c>
      <c r="J128" s="3" t="s">
        <v>54</v>
      </c>
      <c r="K128" s="3" t="s">
        <v>22</v>
      </c>
      <c r="L128" s="4">
        <v>0.40972222222222227</v>
      </c>
      <c r="M128" s="3" t="s">
        <v>55</v>
      </c>
      <c r="N128" s="3" t="s">
        <v>24</v>
      </c>
      <c r="O128" s="3" t="s">
        <v>25</v>
      </c>
    </row>
    <row r="129" spans="1:15">
      <c r="A129" s="3" t="s">
        <v>15</v>
      </c>
      <c r="B129" s="3" t="str">
        <f>"FES1162739419"</f>
        <v>FES1162739419</v>
      </c>
      <c r="C129" s="3" t="s">
        <v>16</v>
      </c>
      <c r="D129" s="3">
        <v>1</v>
      </c>
      <c r="E129" s="3">
        <v>2170731097</v>
      </c>
      <c r="F129" s="3" t="s">
        <v>17</v>
      </c>
      <c r="G129" s="3" t="s">
        <v>18</v>
      </c>
      <c r="H129" s="3" t="s">
        <v>100</v>
      </c>
      <c r="I129" s="3" t="s">
        <v>101</v>
      </c>
      <c r="J129" s="3" t="s">
        <v>250</v>
      </c>
      <c r="K129" s="3" t="s">
        <v>22</v>
      </c>
      <c r="L129" s="4">
        <v>0.37361111111111112</v>
      </c>
      <c r="M129" s="3" t="s">
        <v>251</v>
      </c>
      <c r="N129" s="3" t="s">
        <v>24</v>
      </c>
      <c r="O129" s="3" t="s">
        <v>25</v>
      </c>
    </row>
    <row r="130" spans="1:15">
      <c r="A130" s="3" t="s">
        <v>15</v>
      </c>
      <c r="B130" s="3" t="str">
        <f>"FES1162739481"</f>
        <v>FES1162739481</v>
      </c>
      <c r="C130" s="3" t="s">
        <v>16</v>
      </c>
      <c r="D130" s="3">
        <v>2</v>
      </c>
      <c r="E130" s="3">
        <v>217071174</v>
      </c>
      <c r="F130" s="3" t="s">
        <v>214</v>
      </c>
      <c r="G130" s="3" t="s">
        <v>18</v>
      </c>
      <c r="H130" s="3" t="s">
        <v>70</v>
      </c>
      <c r="I130" s="3" t="s">
        <v>71</v>
      </c>
      <c r="J130" s="3" t="s">
        <v>252</v>
      </c>
      <c r="K130" s="3" t="s">
        <v>22</v>
      </c>
      <c r="L130" s="4">
        <v>0.34166666666666662</v>
      </c>
      <c r="M130" s="3" t="s">
        <v>253</v>
      </c>
      <c r="N130" s="3" t="s">
        <v>24</v>
      </c>
      <c r="O130" s="3" t="s">
        <v>25</v>
      </c>
    </row>
    <row r="131" spans="1:15">
      <c r="A131" s="3" t="s">
        <v>15</v>
      </c>
      <c r="B131" s="3" t="str">
        <f>"FES1162739466"</f>
        <v>FES1162739466</v>
      </c>
      <c r="C131" s="3" t="s">
        <v>16</v>
      </c>
      <c r="D131" s="3">
        <v>1</v>
      </c>
      <c r="E131" s="3">
        <v>2170731174</v>
      </c>
      <c r="F131" s="3" t="s">
        <v>17</v>
      </c>
      <c r="G131" s="3" t="s">
        <v>18</v>
      </c>
      <c r="H131" s="3" t="s">
        <v>100</v>
      </c>
      <c r="I131" s="3" t="s">
        <v>101</v>
      </c>
      <c r="J131" s="3" t="s">
        <v>131</v>
      </c>
      <c r="K131" s="3" t="s">
        <v>22</v>
      </c>
      <c r="L131" s="4">
        <v>0.39444444444444443</v>
      </c>
      <c r="M131" s="3" t="s">
        <v>132</v>
      </c>
      <c r="N131" s="3" t="s">
        <v>24</v>
      </c>
      <c r="O131" s="3" t="s">
        <v>25</v>
      </c>
    </row>
    <row r="132" spans="1:15">
      <c r="A132" s="3" t="s">
        <v>15</v>
      </c>
      <c r="B132" s="3" t="str">
        <f>"FES1162739505"</f>
        <v>FES1162739505</v>
      </c>
      <c r="C132" s="3" t="s">
        <v>16</v>
      </c>
      <c r="D132" s="3">
        <v>1</v>
      </c>
      <c r="E132" s="3">
        <v>2170730954</v>
      </c>
      <c r="F132" s="3" t="s">
        <v>17</v>
      </c>
      <c r="G132" s="3" t="s">
        <v>18</v>
      </c>
      <c r="H132" s="3" t="s">
        <v>36</v>
      </c>
      <c r="I132" s="3" t="s">
        <v>37</v>
      </c>
      <c r="J132" s="3" t="s">
        <v>113</v>
      </c>
      <c r="K132" s="3" t="s">
        <v>22</v>
      </c>
      <c r="L132" s="4">
        <v>0.4236111111111111</v>
      </c>
      <c r="M132" s="3" t="s">
        <v>254</v>
      </c>
      <c r="N132" s="3" t="s">
        <v>24</v>
      </c>
      <c r="O132" s="3" t="s">
        <v>25</v>
      </c>
    </row>
    <row r="133" spans="1:15">
      <c r="A133" s="3" t="s">
        <v>15</v>
      </c>
      <c r="B133" s="3" t="str">
        <f>"FES1162739467"</f>
        <v>FES1162739467</v>
      </c>
      <c r="C133" s="3" t="s">
        <v>16</v>
      </c>
      <c r="D133" s="3">
        <v>1</v>
      </c>
      <c r="E133" s="3">
        <v>2170731148</v>
      </c>
      <c r="F133" s="3" t="s">
        <v>17</v>
      </c>
      <c r="G133" s="3" t="s">
        <v>18</v>
      </c>
      <c r="H133" s="3" t="s">
        <v>100</v>
      </c>
      <c r="I133" s="3" t="s">
        <v>155</v>
      </c>
      <c r="J133" s="3" t="s">
        <v>255</v>
      </c>
      <c r="K133" s="3" t="s">
        <v>22</v>
      </c>
      <c r="L133" s="4">
        <v>0.3923611111111111</v>
      </c>
      <c r="M133" s="3" t="s">
        <v>256</v>
      </c>
      <c r="N133" s="3" t="s">
        <v>24</v>
      </c>
      <c r="O133" s="3" t="s">
        <v>25</v>
      </c>
    </row>
    <row r="134" spans="1:15">
      <c r="A134" s="3" t="s">
        <v>15</v>
      </c>
      <c r="B134" s="3" t="str">
        <f>"FES1162739516"</f>
        <v>FES1162739516</v>
      </c>
      <c r="C134" s="3" t="s">
        <v>16</v>
      </c>
      <c r="D134" s="3">
        <v>1</v>
      </c>
      <c r="E134" s="3">
        <v>2170731214</v>
      </c>
      <c r="F134" s="3" t="s">
        <v>17</v>
      </c>
      <c r="G134" s="3" t="s">
        <v>18</v>
      </c>
      <c r="H134" s="3" t="s">
        <v>36</v>
      </c>
      <c r="I134" s="3" t="s">
        <v>37</v>
      </c>
      <c r="J134" s="3" t="s">
        <v>38</v>
      </c>
      <c r="K134" s="3" t="s">
        <v>22</v>
      </c>
      <c r="L134" s="4">
        <v>0.3576388888888889</v>
      </c>
      <c r="M134" s="3" t="s">
        <v>39</v>
      </c>
      <c r="N134" s="3" t="s">
        <v>24</v>
      </c>
      <c r="O134" s="3" t="s">
        <v>25</v>
      </c>
    </row>
    <row r="135" spans="1:15">
      <c r="A135" s="3" t="s">
        <v>15</v>
      </c>
      <c r="B135" s="3" t="str">
        <f>"FES1162739444"</f>
        <v>FES1162739444</v>
      </c>
      <c r="C135" s="3" t="s">
        <v>16</v>
      </c>
      <c r="D135" s="3">
        <v>1</v>
      </c>
      <c r="E135" s="3">
        <v>2170731126</v>
      </c>
      <c r="F135" s="3" t="s">
        <v>17</v>
      </c>
      <c r="G135" s="3" t="s">
        <v>18</v>
      </c>
      <c r="H135" s="3" t="s">
        <v>19</v>
      </c>
      <c r="I135" s="3" t="s">
        <v>236</v>
      </c>
      <c r="J135" s="3" t="s">
        <v>257</v>
      </c>
      <c r="K135" s="3" t="s">
        <v>22</v>
      </c>
      <c r="L135" s="4">
        <v>0.35138888888888892</v>
      </c>
      <c r="M135" s="3" t="s">
        <v>258</v>
      </c>
      <c r="N135" s="3" t="s">
        <v>24</v>
      </c>
      <c r="O135" s="3" t="s">
        <v>25</v>
      </c>
    </row>
    <row r="136" spans="1:15">
      <c r="A136" s="3" t="s">
        <v>15</v>
      </c>
      <c r="B136" s="3" t="str">
        <f>"FES1162739442"</f>
        <v>FES1162739442</v>
      </c>
      <c r="C136" s="3" t="s">
        <v>16</v>
      </c>
      <c r="D136" s="3">
        <v>1</v>
      </c>
      <c r="E136" s="3">
        <v>2170731124</v>
      </c>
      <c r="F136" s="3" t="s">
        <v>17</v>
      </c>
      <c r="G136" s="3" t="s">
        <v>18</v>
      </c>
      <c r="H136" s="3" t="s">
        <v>19</v>
      </c>
      <c r="I136" s="3" t="s">
        <v>20</v>
      </c>
      <c r="J136" s="3" t="s">
        <v>56</v>
      </c>
      <c r="K136" s="3" t="s">
        <v>77</v>
      </c>
      <c r="L136" s="4">
        <v>0.37222222222222223</v>
      </c>
      <c r="M136" s="3" t="s">
        <v>259</v>
      </c>
      <c r="N136" s="3" t="s">
        <v>24</v>
      </c>
      <c r="O136" s="3" t="s">
        <v>25</v>
      </c>
    </row>
    <row r="137" spans="1:15">
      <c r="A137" s="3" t="s">
        <v>15</v>
      </c>
      <c r="B137" s="3" t="str">
        <f>"FES1162739474"</f>
        <v>FES1162739474</v>
      </c>
      <c r="C137" s="3" t="s">
        <v>16</v>
      </c>
      <c r="D137" s="3">
        <v>1</v>
      </c>
      <c r="E137" s="3">
        <v>21701731158</v>
      </c>
      <c r="F137" s="3" t="s">
        <v>17</v>
      </c>
      <c r="G137" s="3" t="s">
        <v>18</v>
      </c>
      <c r="H137" s="3" t="s">
        <v>70</v>
      </c>
      <c r="I137" s="3" t="s">
        <v>71</v>
      </c>
      <c r="J137" s="3" t="s">
        <v>252</v>
      </c>
      <c r="K137" s="3" t="s">
        <v>22</v>
      </c>
      <c r="L137" s="4">
        <v>0.34166666666666662</v>
      </c>
      <c r="M137" s="3" t="s">
        <v>253</v>
      </c>
      <c r="N137" s="3" t="s">
        <v>24</v>
      </c>
      <c r="O137" s="3" t="s">
        <v>25</v>
      </c>
    </row>
    <row r="138" spans="1:15">
      <c r="A138" s="3" t="s">
        <v>15</v>
      </c>
      <c r="B138" s="3" t="str">
        <f>"FES1162739465"</f>
        <v>FES1162739465</v>
      </c>
      <c r="C138" s="3" t="s">
        <v>16</v>
      </c>
      <c r="D138" s="3">
        <v>1</v>
      </c>
      <c r="E138" s="3">
        <v>2170731146</v>
      </c>
      <c r="F138" s="3" t="s">
        <v>17</v>
      </c>
      <c r="G138" s="3" t="s">
        <v>18</v>
      </c>
      <c r="H138" s="3" t="s">
        <v>70</v>
      </c>
      <c r="I138" s="3" t="s">
        <v>71</v>
      </c>
      <c r="J138" s="3" t="s">
        <v>248</v>
      </c>
      <c r="K138" s="3" t="s">
        <v>22</v>
      </c>
      <c r="L138" s="4">
        <v>0.40972222222222227</v>
      </c>
      <c r="M138" s="3" t="s">
        <v>249</v>
      </c>
      <c r="N138" s="3" t="s">
        <v>24</v>
      </c>
      <c r="O138" s="3" t="s">
        <v>25</v>
      </c>
    </row>
    <row r="139" spans="1:15">
      <c r="A139" s="3" t="s">
        <v>15</v>
      </c>
      <c r="B139" s="3" t="str">
        <f>"FES1162739504"</f>
        <v>FES1162739504</v>
      </c>
      <c r="C139" s="3" t="s">
        <v>16</v>
      </c>
      <c r="D139" s="3">
        <v>1</v>
      </c>
      <c r="E139" s="3">
        <v>2170731196</v>
      </c>
      <c r="F139" s="3" t="s">
        <v>17</v>
      </c>
      <c r="G139" s="3" t="s">
        <v>18</v>
      </c>
      <c r="H139" s="3" t="s">
        <v>36</v>
      </c>
      <c r="I139" s="3" t="s">
        <v>37</v>
      </c>
      <c r="J139" s="3" t="s">
        <v>260</v>
      </c>
      <c r="K139" s="3" t="s">
        <v>22</v>
      </c>
      <c r="L139" s="4">
        <v>0.38125000000000003</v>
      </c>
      <c r="M139" s="3" t="s">
        <v>261</v>
      </c>
      <c r="N139" s="3" t="s">
        <v>24</v>
      </c>
      <c r="O139" s="3" t="s">
        <v>25</v>
      </c>
    </row>
    <row r="140" spans="1:15">
      <c r="A140" s="3" t="s">
        <v>15</v>
      </c>
      <c r="B140" s="3" t="str">
        <f>"FES1162739512"</f>
        <v>FES1162739512</v>
      </c>
      <c r="C140" s="3" t="s">
        <v>16</v>
      </c>
      <c r="D140" s="3">
        <v>1</v>
      </c>
      <c r="E140" s="3">
        <v>2170731209</v>
      </c>
      <c r="F140" s="3" t="s">
        <v>17</v>
      </c>
      <c r="G140" s="3" t="s">
        <v>18</v>
      </c>
      <c r="H140" s="3" t="s">
        <v>36</v>
      </c>
      <c r="I140" s="3" t="s">
        <v>37</v>
      </c>
      <c r="J140" s="3" t="s">
        <v>38</v>
      </c>
      <c r="K140" s="3" t="s">
        <v>22</v>
      </c>
      <c r="L140" s="4">
        <v>0.39930555555555558</v>
      </c>
      <c r="M140" s="3" t="s">
        <v>39</v>
      </c>
      <c r="N140" s="3" t="s">
        <v>24</v>
      </c>
      <c r="O140" s="3" t="s">
        <v>25</v>
      </c>
    </row>
    <row r="141" spans="1:15">
      <c r="A141" s="3" t="s">
        <v>15</v>
      </c>
      <c r="B141" s="3" t="str">
        <f>"FES1162739520"</f>
        <v>FES1162739520</v>
      </c>
      <c r="C141" s="3" t="s">
        <v>16</v>
      </c>
      <c r="D141" s="3">
        <v>1</v>
      </c>
      <c r="E141" s="3">
        <v>2170731219</v>
      </c>
      <c r="F141" s="3" t="s">
        <v>17</v>
      </c>
      <c r="G141" s="3" t="s">
        <v>18</v>
      </c>
      <c r="H141" s="3" t="s">
        <v>36</v>
      </c>
      <c r="I141" s="3" t="s">
        <v>37</v>
      </c>
      <c r="J141" s="3" t="s">
        <v>38</v>
      </c>
      <c r="K141" s="3" t="s">
        <v>22</v>
      </c>
      <c r="L141" s="4">
        <v>0.39930555555555558</v>
      </c>
      <c r="M141" s="3" t="s">
        <v>39</v>
      </c>
      <c r="N141" s="3" t="s">
        <v>24</v>
      </c>
      <c r="O141" s="3" t="s">
        <v>25</v>
      </c>
    </row>
    <row r="142" spans="1:15">
      <c r="A142" s="3" t="s">
        <v>15</v>
      </c>
      <c r="B142" s="3" t="str">
        <f>"FES1162739518"</f>
        <v>FES1162739518</v>
      </c>
      <c r="C142" s="3" t="s">
        <v>16</v>
      </c>
      <c r="D142" s="3">
        <v>1</v>
      </c>
      <c r="E142" s="3">
        <v>2170731216</v>
      </c>
      <c r="F142" s="3" t="s">
        <v>17</v>
      </c>
      <c r="G142" s="3" t="s">
        <v>18</v>
      </c>
      <c r="H142" s="3" t="s">
        <v>36</v>
      </c>
      <c r="I142" s="3" t="s">
        <v>37</v>
      </c>
      <c r="J142" s="3" t="s">
        <v>38</v>
      </c>
      <c r="K142" s="3" t="s">
        <v>22</v>
      </c>
      <c r="L142" s="4">
        <v>0.39930555555555558</v>
      </c>
      <c r="M142" s="3" t="s">
        <v>39</v>
      </c>
      <c r="N142" s="3" t="s">
        <v>24</v>
      </c>
      <c r="O142" s="3" t="s">
        <v>25</v>
      </c>
    </row>
    <row r="143" spans="1:15">
      <c r="A143" s="3" t="s">
        <v>15</v>
      </c>
      <c r="B143" s="3" t="str">
        <f>"FES1162739500"</f>
        <v>FES1162739500</v>
      </c>
      <c r="C143" s="3" t="s">
        <v>16</v>
      </c>
      <c r="D143" s="3">
        <v>1</v>
      </c>
      <c r="E143" s="3">
        <v>2170731192</v>
      </c>
      <c r="F143" s="3" t="s">
        <v>17</v>
      </c>
      <c r="G143" s="3" t="s">
        <v>18</v>
      </c>
      <c r="H143" s="3" t="s">
        <v>36</v>
      </c>
      <c r="I143" s="3" t="s">
        <v>37</v>
      </c>
      <c r="J143" s="3" t="s">
        <v>38</v>
      </c>
      <c r="K143" s="3" t="s">
        <v>22</v>
      </c>
      <c r="L143" s="4">
        <v>0.39930555555555558</v>
      </c>
      <c r="M143" s="3" t="s">
        <v>39</v>
      </c>
      <c r="N143" s="3" t="s">
        <v>24</v>
      </c>
      <c r="O143" s="3" t="s">
        <v>25</v>
      </c>
    </row>
    <row r="144" spans="1:15">
      <c r="A144" s="3" t="s">
        <v>15</v>
      </c>
      <c r="B144" s="3" t="str">
        <f>"FES1162738596"</f>
        <v>FES1162738596</v>
      </c>
      <c r="C144" s="3" t="s">
        <v>16</v>
      </c>
      <c r="D144" s="3">
        <v>1</v>
      </c>
      <c r="E144" s="3">
        <v>2170729758</v>
      </c>
      <c r="F144" s="3" t="s">
        <v>17</v>
      </c>
      <c r="G144" s="3" t="s">
        <v>18</v>
      </c>
      <c r="H144" s="3" t="s">
        <v>100</v>
      </c>
      <c r="I144" s="3" t="s">
        <v>262</v>
      </c>
      <c r="J144" s="3" t="s">
        <v>263</v>
      </c>
      <c r="K144" s="3" t="s">
        <v>77</v>
      </c>
      <c r="L144" s="4">
        <v>0.35416666666666669</v>
      </c>
      <c r="M144" s="3" t="s">
        <v>264</v>
      </c>
      <c r="N144" s="3" t="s">
        <v>24</v>
      </c>
      <c r="O144" s="3" t="s">
        <v>25</v>
      </c>
    </row>
    <row r="145" spans="1:15">
      <c r="A145" s="3" t="s">
        <v>15</v>
      </c>
      <c r="B145" s="3" t="str">
        <f>"FES1162739464"</f>
        <v>FES1162739464</v>
      </c>
      <c r="C145" s="3" t="s">
        <v>16</v>
      </c>
      <c r="D145" s="3">
        <v>1</v>
      </c>
      <c r="E145" s="3">
        <v>2170731145</v>
      </c>
      <c r="F145" s="3" t="s">
        <v>17</v>
      </c>
      <c r="G145" s="3" t="s">
        <v>18</v>
      </c>
      <c r="H145" s="3" t="s">
        <v>100</v>
      </c>
      <c r="I145" s="3" t="s">
        <v>101</v>
      </c>
      <c r="J145" s="3" t="s">
        <v>131</v>
      </c>
      <c r="K145" s="3" t="s">
        <v>22</v>
      </c>
      <c r="L145" s="4">
        <v>0.39305555555555555</v>
      </c>
      <c r="M145" s="3" t="s">
        <v>132</v>
      </c>
      <c r="N145" s="3" t="s">
        <v>24</v>
      </c>
      <c r="O145" s="3" t="s">
        <v>25</v>
      </c>
    </row>
    <row r="146" spans="1:15">
      <c r="A146" s="3" t="s">
        <v>15</v>
      </c>
      <c r="B146" s="3" t="str">
        <f>"FES1162739427"</f>
        <v>FES1162739427</v>
      </c>
      <c r="C146" s="3" t="s">
        <v>16</v>
      </c>
      <c r="D146" s="3">
        <v>1</v>
      </c>
      <c r="E146" s="3">
        <v>2170731107</v>
      </c>
      <c r="F146" s="3" t="s">
        <v>17</v>
      </c>
      <c r="G146" s="3" t="s">
        <v>18</v>
      </c>
      <c r="H146" s="3" t="s">
        <v>100</v>
      </c>
      <c r="I146" s="3" t="s">
        <v>101</v>
      </c>
      <c r="J146" s="3" t="s">
        <v>265</v>
      </c>
      <c r="K146" s="3" t="s">
        <v>22</v>
      </c>
      <c r="L146" s="4">
        <v>0.35694444444444445</v>
      </c>
      <c r="M146" s="3" t="s">
        <v>266</v>
      </c>
      <c r="N146" s="3" t="s">
        <v>24</v>
      </c>
      <c r="O146" s="3" t="s">
        <v>25</v>
      </c>
    </row>
    <row r="147" spans="1:15">
      <c r="A147" s="3" t="s">
        <v>15</v>
      </c>
      <c r="B147" s="3" t="str">
        <f>"FES1162739428"</f>
        <v>FES1162739428</v>
      </c>
      <c r="C147" s="3" t="s">
        <v>16</v>
      </c>
      <c r="D147" s="3">
        <v>1</v>
      </c>
      <c r="E147" s="3">
        <v>2170731109</v>
      </c>
      <c r="F147" s="3" t="s">
        <v>17</v>
      </c>
      <c r="G147" s="3" t="s">
        <v>18</v>
      </c>
      <c r="H147" s="3" t="s">
        <v>100</v>
      </c>
      <c r="I147" s="3" t="s">
        <v>101</v>
      </c>
      <c r="J147" s="3" t="s">
        <v>265</v>
      </c>
      <c r="K147" s="3" t="s">
        <v>22</v>
      </c>
      <c r="L147" s="4">
        <v>0.39861111111111108</v>
      </c>
      <c r="M147" s="3" t="s">
        <v>266</v>
      </c>
      <c r="N147" s="3" t="s">
        <v>24</v>
      </c>
      <c r="O147" s="3" t="s">
        <v>25</v>
      </c>
    </row>
    <row r="148" spans="1:15">
      <c r="A148" s="3" t="s">
        <v>15</v>
      </c>
      <c r="B148" s="3" t="str">
        <f>"FES1162739459"</f>
        <v>FES1162739459</v>
      </c>
      <c r="C148" s="3" t="s">
        <v>16</v>
      </c>
      <c r="D148" s="3">
        <v>1</v>
      </c>
      <c r="E148" s="3">
        <v>2170731141</v>
      </c>
      <c r="F148" s="3" t="s">
        <v>17</v>
      </c>
      <c r="G148" s="3" t="s">
        <v>18</v>
      </c>
      <c r="H148" s="3" t="s">
        <v>100</v>
      </c>
      <c r="I148" s="3" t="s">
        <v>101</v>
      </c>
      <c r="J148" s="3" t="s">
        <v>131</v>
      </c>
      <c r="K148" s="3" t="s">
        <v>22</v>
      </c>
      <c r="L148" s="4">
        <v>0.39305555555555555</v>
      </c>
      <c r="M148" s="3" t="s">
        <v>132</v>
      </c>
      <c r="N148" s="3" t="s">
        <v>24</v>
      </c>
      <c r="O148" s="3" t="s">
        <v>25</v>
      </c>
    </row>
    <row r="149" spans="1:15">
      <c r="A149" s="3" t="s">
        <v>15</v>
      </c>
      <c r="B149" s="3" t="str">
        <f>"FES1162739454"</f>
        <v>FES1162739454</v>
      </c>
      <c r="C149" s="3" t="s">
        <v>16</v>
      </c>
      <c r="D149" s="3">
        <v>1</v>
      </c>
      <c r="E149" s="3">
        <v>2170731134</v>
      </c>
      <c r="F149" s="3" t="s">
        <v>17</v>
      </c>
      <c r="G149" s="3" t="s">
        <v>18</v>
      </c>
      <c r="H149" s="3" t="s">
        <v>100</v>
      </c>
      <c r="I149" s="3" t="s">
        <v>101</v>
      </c>
      <c r="J149" s="3" t="s">
        <v>131</v>
      </c>
      <c r="K149" s="3" t="s">
        <v>22</v>
      </c>
      <c r="L149" s="4">
        <v>0.3923611111111111</v>
      </c>
      <c r="M149" s="3" t="s">
        <v>132</v>
      </c>
      <c r="N149" s="3" t="s">
        <v>24</v>
      </c>
      <c r="O149" s="3" t="s">
        <v>25</v>
      </c>
    </row>
    <row r="150" spans="1:15">
      <c r="A150" s="3" t="s">
        <v>15</v>
      </c>
      <c r="B150" s="3" t="str">
        <f>"FES1162739472"</f>
        <v>FES1162739472</v>
      </c>
      <c r="C150" s="3" t="s">
        <v>16</v>
      </c>
      <c r="D150" s="3">
        <v>1</v>
      </c>
      <c r="E150" s="3">
        <v>2170731153</v>
      </c>
      <c r="F150" s="3" t="s">
        <v>17</v>
      </c>
      <c r="G150" s="3" t="s">
        <v>18</v>
      </c>
      <c r="H150" s="3" t="s">
        <v>70</v>
      </c>
      <c r="I150" s="3" t="s">
        <v>71</v>
      </c>
      <c r="J150" s="3" t="s">
        <v>252</v>
      </c>
      <c r="K150" s="3" t="s">
        <v>22</v>
      </c>
      <c r="L150" s="4">
        <v>0.34166666666666662</v>
      </c>
      <c r="M150" s="3" t="s">
        <v>253</v>
      </c>
      <c r="N150" s="3" t="s">
        <v>24</v>
      </c>
      <c r="O150" s="3" t="s">
        <v>25</v>
      </c>
    </row>
    <row r="151" spans="1:15">
      <c r="A151" s="3" t="s">
        <v>15</v>
      </c>
      <c r="B151" s="3" t="str">
        <f>"FES1162739455"</f>
        <v>FES1162739455</v>
      </c>
      <c r="C151" s="3" t="s">
        <v>16</v>
      </c>
      <c r="D151" s="3">
        <v>1</v>
      </c>
      <c r="E151" s="3">
        <v>2170731135</v>
      </c>
      <c r="F151" s="3" t="s">
        <v>17</v>
      </c>
      <c r="G151" s="3" t="s">
        <v>18</v>
      </c>
      <c r="H151" s="3" t="s">
        <v>100</v>
      </c>
      <c r="I151" s="3" t="s">
        <v>101</v>
      </c>
      <c r="J151" s="3" t="s">
        <v>131</v>
      </c>
      <c r="K151" s="3" t="s">
        <v>22</v>
      </c>
      <c r="L151" s="4">
        <v>0.39305555555555555</v>
      </c>
      <c r="M151" s="3" t="s">
        <v>132</v>
      </c>
      <c r="N151" s="3" t="s">
        <v>24</v>
      </c>
      <c r="O151" s="3" t="s">
        <v>25</v>
      </c>
    </row>
    <row r="152" spans="1:15">
      <c r="A152" s="3" t="s">
        <v>15</v>
      </c>
      <c r="B152" s="3" t="str">
        <f>"FES1162739434"</f>
        <v>FES1162739434</v>
      </c>
      <c r="C152" s="3" t="s">
        <v>16</v>
      </c>
      <c r="D152" s="3">
        <v>1</v>
      </c>
      <c r="E152" s="3">
        <v>2170731116</v>
      </c>
      <c r="F152" s="3" t="s">
        <v>17</v>
      </c>
      <c r="G152" s="3" t="s">
        <v>18</v>
      </c>
      <c r="H152" s="3" t="s">
        <v>100</v>
      </c>
      <c r="I152" s="3" t="s">
        <v>101</v>
      </c>
      <c r="J152" s="3" t="s">
        <v>265</v>
      </c>
      <c r="K152" s="3" t="s">
        <v>22</v>
      </c>
      <c r="L152" s="4">
        <v>0.35694444444444445</v>
      </c>
      <c r="M152" s="3" t="s">
        <v>266</v>
      </c>
      <c r="N152" s="3" t="s">
        <v>24</v>
      </c>
      <c r="O152" s="3" t="s">
        <v>25</v>
      </c>
    </row>
    <row r="153" spans="1:15">
      <c r="A153" s="3" t="s">
        <v>15</v>
      </c>
      <c r="B153" s="3" t="str">
        <f>"FES1162739431"</f>
        <v>FES1162739431</v>
      </c>
      <c r="C153" s="3" t="s">
        <v>16</v>
      </c>
      <c r="D153" s="3">
        <v>1</v>
      </c>
      <c r="E153" s="3">
        <v>2170731112</v>
      </c>
      <c r="F153" s="3" t="s">
        <v>17</v>
      </c>
      <c r="G153" s="3" t="s">
        <v>18</v>
      </c>
      <c r="H153" s="3" t="s">
        <v>100</v>
      </c>
      <c r="I153" s="3" t="s">
        <v>101</v>
      </c>
      <c r="J153" s="3" t="s">
        <v>265</v>
      </c>
      <c r="K153" s="3" t="s">
        <v>22</v>
      </c>
      <c r="L153" s="4">
        <v>0.35694444444444445</v>
      </c>
      <c r="M153" s="3" t="s">
        <v>266</v>
      </c>
      <c r="N153" s="3" t="s">
        <v>24</v>
      </c>
      <c r="O153" s="3" t="s">
        <v>25</v>
      </c>
    </row>
    <row r="154" spans="1:15">
      <c r="A154" s="3" t="s">
        <v>15</v>
      </c>
      <c r="B154" s="3" t="str">
        <f>"FES1162739456"</f>
        <v>FES1162739456</v>
      </c>
      <c r="C154" s="3" t="s">
        <v>16</v>
      </c>
      <c r="D154" s="3">
        <v>1</v>
      </c>
      <c r="E154" s="3">
        <v>2170731138</v>
      </c>
      <c r="F154" s="3" t="s">
        <v>17</v>
      </c>
      <c r="G154" s="3" t="s">
        <v>18</v>
      </c>
      <c r="H154" s="3" t="s">
        <v>18</v>
      </c>
      <c r="I154" s="3" t="s">
        <v>33</v>
      </c>
      <c r="J154" s="3" t="s">
        <v>267</v>
      </c>
      <c r="K154" s="3" t="s">
        <v>22</v>
      </c>
      <c r="L154" s="4">
        <v>0.375</v>
      </c>
      <c r="M154" s="3" t="s">
        <v>268</v>
      </c>
      <c r="N154" s="3" t="s">
        <v>24</v>
      </c>
      <c r="O154" s="3" t="s">
        <v>25</v>
      </c>
    </row>
    <row r="155" spans="1:15">
      <c r="A155" s="3" t="s">
        <v>15</v>
      </c>
      <c r="B155" s="3" t="str">
        <f>"FES1162739458"</f>
        <v>FES1162739458</v>
      </c>
      <c r="C155" s="3" t="s">
        <v>16</v>
      </c>
      <c r="D155" s="3">
        <v>1</v>
      </c>
      <c r="E155" s="3">
        <v>2170731140</v>
      </c>
      <c r="F155" s="3" t="s">
        <v>17</v>
      </c>
      <c r="G155" s="3" t="s">
        <v>18</v>
      </c>
      <c r="H155" s="3" t="s">
        <v>70</v>
      </c>
      <c r="I155" s="3" t="s">
        <v>71</v>
      </c>
      <c r="J155" s="3" t="s">
        <v>252</v>
      </c>
      <c r="K155" s="3" t="s">
        <v>22</v>
      </c>
      <c r="L155" s="4">
        <v>0.34166666666666662</v>
      </c>
      <c r="M155" s="3" t="s">
        <v>253</v>
      </c>
      <c r="N155" s="3" t="s">
        <v>24</v>
      </c>
      <c r="O155" s="3" t="s">
        <v>25</v>
      </c>
    </row>
    <row r="156" spans="1:15">
      <c r="A156" s="3" t="s">
        <v>15</v>
      </c>
      <c r="B156" s="3" t="str">
        <f>"FES1162739418"</f>
        <v>FES1162739418</v>
      </c>
      <c r="C156" s="3" t="s">
        <v>16</v>
      </c>
      <c r="D156" s="3">
        <v>1</v>
      </c>
      <c r="E156" s="3">
        <v>2170731096</v>
      </c>
      <c r="F156" s="3" t="s">
        <v>17</v>
      </c>
      <c r="G156" s="3" t="s">
        <v>18</v>
      </c>
      <c r="H156" s="3" t="s">
        <v>19</v>
      </c>
      <c r="I156" s="3" t="s">
        <v>20</v>
      </c>
      <c r="J156" s="3" t="s">
        <v>269</v>
      </c>
      <c r="K156" s="3" t="s">
        <v>22</v>
      </c>
      <c r="L156" s="4">
        <v>0.35138888888888892</v>
      </c>
      <c r="M156" s="3" t="s">
        <v>258</v>
      </c>
      <c r="N156" s="3" t="s">
        <v>24</v>
      </c>
      <c r="O156" s="3" t="s">
        <v>25</v>
      </c>
    </row>
    <row r="157" spans="1:15">
      <c r="A157" s="3" t="s">
        <v>15</v>
      </c>
      <c r="B157" s="3" t="str">
        <f>"FES1162739525"</f>
        <v>FES1162739525</v>
      </c>
      <c r="C157" s="3" t="s">
        <v>16</v>
      </c>
      <c r="D157" s="3">
        <v>1</v>
      </c>
      <c r="E157" s="3">
        <v>2170731225</v>
      </c>
      <c r="F157" s="3" t="s">
        <v>17</v>
      </c>
      <c r="G157" s="3" t="s">
        <v>18</v>
      </c>
      <c r="H157" s="3" t="s">
        <v>36</v>
      </c>
      <c r="I157" s="3" t="s">
        <v>37</v>
      </c>
      <c r="J157" s="3" t="s">
        <v>38</v>
      </c>
      <c r="K157" s="3" t="s">
        <v>22</v>
      </c>
      <c r="L157" s="4">
        <v>0.39930555555555558</v>
      </c>
      <c r="M157" s="3" t="s">
        <v>39</v>
      </c>
      <c r="N157" s="3" t="s">
        <v>24</v>
      </c>
      <c r="O157" s="3" t="s">
        <v>25</v>
      </c>
    </row>
    <row r="158" spans="1:15">
      <c r="A158" s="3" t="s">
        <v>15</v>
      </c>
      <c r="B158" s="3" t="str">
        <f>"FES1162739528"</f>
        <v>FES1162739528</v>
      </c>
      <c r="C158" s="3" t="s">
        <v>16</v>
      </c>
      <c r="D158" s="3">
        <v>1</v>
      </c>
      <c r="E158" s="3">
        <v>2170731228</v>
      </c>
      <c r="F158" s="3" t="s">
        <v>17</v>
      </c>
      <c r="G158" s="3" t="s">
        <v>18</v>
      </c>
      <c r="H158" s="3" t="s">
        <v>36</v>
      </c>
      <c r="I158" s="3" t="s">
        <v>37</v>
      </c>
      <c r="J158" s="3" t="s">
        <v>38</v>
      </c>
      <c r="K158" s="3" t="s">
        <v>22</v>
      </c>
      <c r="L158" s="4">
        <v>0.39930555555555558</v>
      </c>
      <c r="M158" s="3" t="s">
        <v>39</v>
      </c>
      <c r="N158" s="3" t="s">
        <v>24</v>
      </c>
      <c r="O158" s="3" t="s">
        <v>25</v>
      </c>
    </row>
    <row r="159" spans="1:15">
      <c r="A159" s="3" t="s">
        <v>15</v>
      </c>
      <c r="B159" s="3" t="str">
        <f>"FES1162739440"</f>
        <v>FES1162739440</v>
      </c>
      <c r="C159" s="3" t="s">
        <v>16</v>
      </c>
      <c r="D159" s="3">
        <v>1</v>
      </c>
      <c r="E159" s="3">
        <v>217072793</v>
      </c>
      <c r="F159" s="3" t="s">
        <v>17</v>
      </c>
      <c r="G159" s="3" t="s">
        <v>18</v>
      </c>
      <c r="H159" s="3" t="s">
        <v>18</v>
      </c>
      <c r="I159" s="3" t="s">
        <v>29</v>
      </c>
      <c r="J159" s="3" t="s">
        <v>270</v>
      </c>
      <c r="K159" s="3" t="s">
        <v>22</v>
      </c>
      <c r="L159" s="4">
        <v>0.35138888888888892</v>
      </c>
      <c r="M159" s="3" t="s">
        <v>271</v>
      </c>
      <c r="N159" s="3" t="s">
        <v>24</v>
      </c>
      <c r="O159" s="3" t="s">
        <v>25</v>
      </c>
    </row>
    <row r="160" spans="1:15">
      <c r="A160" s="3" t="s">
        <v>15</v>
      </c>
      <c r="B160" s="3" t="str">
        <f>"FES1162739445"</f>
        <v>FES1162739445</v>
      </c>
      <c r="C160" s="3" t="s">
        <v>16</v>
      </c>
      <c r="D160" s="3">
        <v>1</v>
      </c>
      <c r="E160" s="3">
        <v>2170731128</v>
      </c>
      <c r="F160" s="3" t="s">
        <v>214</v>
      </c>
      <c r="G160" s="3" t="s">
        <v>18</v>
      </c>
      <c r="H160" s="3" t="s">
        <v>100</v>
      </c>
      <c r="I160" s="3" t="s">
        <v>101</v>
      </c>
      <c r="J160" s="3" t="s">
        <v>125</v>
      </c>
      <c r="K160" s="3" t="s">
        <v>77</v>
      </c>
      <c r="L160" s="4">
        <v>0.30416666666666664</v>
      </c>
      <c r="M160" s="3" t="s">
        <v>272</v>
      </c>
      <c r="N160" s="3" t="s">
        <v>24</v>
      </c>
      <c r="O160" s="3" t="s">
        <v>25</v>
      </c>
    </row>
    <row r="161" spans="1:15">
      <c r="A161" s="3" t="s">
        <v>15</v>
      </c>
      <c r="B161" s="3" t="str">
        <f>"FES1162739484"</f>
        <v>FES1162739484</v>
      </c>
      <c r="C161" s="3" t="s">
        <v>16</v>
      </c>
      <c r="D161" s="3">
        <v>1</v>
      </c>
      <c r="E161" s="3">
        <v>2170731177</v>
      </c>
      <c r="F161" s="3" t="s">
        <v>17</v>
      </c>
      <c r="G161" s="3" t="s">
        <v>18</v>
      </c>
      <c r="H161" s="3" t="s">
        <v>19</v>
      </c>
      <c r="I161" s="3" t="s">
        <v>86</v>
      </c>
      <c r="J161" s="3" t="s">
        <v>273</v>
      </c>
      <c r="K161" s="3" t="s">
        <v>22</v>
      </c>
      <c r="L161" s="4">
        <v>0.37222222222222223</v>
      </c>
      <c r="M161" s="3" t="s">
        <v>274</v>
      </c>
      <c r="N161" s="3" t="s">
        <v>24</v>
      </c>
      <c r="O161" s="3" t="s">
        <v>25</v>
      </c>
    </row>
    <row r="162" spans="1:15">
      <c r="A162" s="3" t="s">
        <v>15</v>
      </c>
      <c r="B162" s="3" t="str">
        <f>"FES1162739556"</f>
        <v>FES1162739556</v>
      </c>
      <c r="C162" s="3" t="s">
        <v>16</v>
      </c>
      <c r="D162" s="3">
        <v>1</v>
      </c>
      <c r="E162" s="3">
        <v>2170731267</v>
      </c>
      <c r="F162" s="3" t="s">
        <v>17</v>
      </c>
      <c r="G162" s="3" t="s">
        <v>18</v>
      </c>
      <c r="H162" s="3" t="s">
        <v>46</v>
      </c>
      <c r="I162" s="3" t="s">
        <v>47</v>
      </c>
      <c r="J162" s="3" t="s">
        <v>62</v>
      </c>
      <c r="K162" s="3" t="s">
        <v>22</v>
      </c>
      <c r="L162" s="4">
        <v>0.42291666666666666</v>
      </c>
      <c r="M162" s="3" t="s">
        <v>63</v>
      </c>
      <c r="N162" s="3" t="s">
        <v>24</v>
      </c>
      <c r="O162" s="3" t="s">
        <v>25</v>
      </c>
    </row>
    <row r="163" spans="1:15">
      <c r="A163" s="3" t="s">
        <v>15</v>
      </c>
      <c r="B163" s="3" t="str">
        <f>"FES1162773417"</f>
        <v>FES1162773417</v>
      </c>
      <c r="C163" s="3" t="s">
        <v>16</v>
      </c>
      <c r="D163" s="3">
        <v>1</v>
      </c>
      <c r="E163" s="3">
        <v>2170731095</v>
      </c>
      <c r="F163" s="3" t="s">
        <v>17</v>
      </c>
      <c r="G163" s="3" t="s">
        <v>18</v>
      </c>
      <c r="H163" s="3" t="s">
        <v>18</v>
      </c>
      <c r="I163" s="3" t="s">
        <v>33</v>
      </c>
      <c r="J163" s="3" t="s">
        <v>34</v>
      </c>
      <c r="K163" s="3" t="s">
        <v>22</v>
      </c>
      <c r="L163" s="4">
        <v>0.41180555555555554</v>
      </c>
      <c r="M163" s="3" t="s">
        <v>35</v>
      </c>
      <c r="N163" s="3" t="s">
        <v>24</v>
      </c>
      <c r="O163" s="3" t="s">
        <v>25</v>
      </c>
    </row>
    <row r="164" spans="1:15">
      <c r="A164" s="3" t="s">
        <v>15</v>
      </c>
      <c r="B164" s="3" t="str">
        <f>"FES1162739545"</f>
        <v>FES1162739545</v>
      </c>
      <c r="C164" s="3" t="s">
        <v>16</v>
      </c>
      <c r="D164" s="3">
        <v>1</v>
      </c>
      <c r="E164" s="3">
        <v>2170731250</v>
      </c>
      <c r="F164" s="3" t="s">
        <v>17</v>
      </c>
      <c r="G164" s="3" t="s">
        <v>18</v>
      </c>
      <c r="H164" s="3" t="s">
        <v>36</v>
      </c>
      <c r="I164" s="3" t="s">
        <v>37</v>
      </c>
      <c r="J164" s="3" t="s">
        <v>275</v>
      </c>
      <c r="K164" s="3" t="s">
        <v>22</v>
      </c>
      <c r="L164" s="4">
        <v>0.3611111111111111</v>
      </c>
      <c r="M164" s="3" t="s">
        <v>276</v>
      </c>
      <c r="N164" s="3" t="s">
        <v>24</v>
      </c>
      <c r="O164" s="3" t="s">
        <v>25</v>
      </c>
    </row>
    <row r="165" spans="1:15">
      <c r="A165" s="3" t="s">
        <v>15</v>
      </c>
      <c r="B165" s="3" t="str">
        <f>"FES1162739517"</f>
        <v>FES1162739517</v>
      </c>
      <c r="C165" s="3" t="s">
        <v>16</v>
      </c>
      <c r="D165" s="3">
        <v>1</v>
      </c>
      <c r="E165" s="3">
        <v>2170731215</v>
      </c>
      <c r="F165" s="3" t="s">
        <v>17</v>
      </c>
      <c r="G165" s="3" t="s">
        <v>18</v>
      </c>
      <c r="H165" s="3" t="s">
        <v>19</v>
      </c>
      <c r="I165" s="3" t="s">
        <v>277</v>
      </c>
      <c r="J165" s="3" t="s">
        <v>278</v>
      </c>
      <c r="K165" s="3" t="s">
        <v>22</v>
      </c>
      <c r="L165" s="4">
        <v>0.42569444444444443</v>
      </c>
      <c r="M165" s="3" t="s">
        <v>279</v>
      </c>
      <c r="N165" s="3" t="s">
        <v>24</v>
      </c>
      <c r="O165" s="3" t="s">
        <v>25</v>
      </c>
    </row>
    <row r="166" spans="1:15">
      <c r="A166" s="3" t="s">
        <v>15</v>
      </c>
      <c r="B166" s="3" t="str">
        <f>"FES1162739530"</f>
        <v>FES1162739530</v>
      </c>
      <c r="C166" s="3" t="s">
        <v>16</v>
      </c>
      <c r="D166" s="3">
        <v>1</v>
      </c>
      <c r="E166" s="3">
        <v>2170731231</v>
      </c>
      <c r="F166" s="3" t="s">
        <v>17</v>
      </c>
      <c r="G166" s="3" t="s">
        <v>18</v>
      </c>
      <c r="H166" s="3" t="s">
        <v>19</v>
      </c>
      <c r="I166" s="3" t="s">
        <v>20</v>
      </c>
      <c r="J166" s="3" t="s">
        <v>280</v>
      </c>
      <c r="K166" s="3" t="s">
        <v>22</v>
      </c>
      <c r="L166" s="4">
        <v>0.39652777777777781</v>
      </c>
      <c r="M166" s="3" t="s">
        <v>281</v>
      </c>
      <c r="N166" s="3" t="s">
        <v>24</v>
      </c>
      <c r="O166" s="3" t="s">
        <v>25</v>
      </c>
    </row>
    <row r="167" spans="1:15">
      <c r="A167" s="3" t="s">
        <v>15</v>
      </c>
      <c r="B167" s="3" t="str">
        <f>"FES1162739488"</f>
        <v>FES1162739488</v>
      </c>
      <c r="C167" s="3" t="s">
        <v>16</v>
      </c>
      <c r="D167" s="3">
        <v>1</v>
      </c>
      <c r="E167" s="3">
        <v>2170731181</v>
      </c>
      <c r="F167" s="3" t="s">
        <v>17</v>
      </c>
      <c r="G167" s="3" t="s">
        <v>18</v>
      </c>
      <c r="H167" s="3" t="s">
        <v>19</v>
      </c>
      <c r="I167" s="3" t="s">
        <v>20</v>
      </c>
      <c r="J167" s="3" t="s">
        <v>21</v>
      </c>
      <c r="K167" s="3" t="s">
        <v>22</v>
      </c>
      <c r="L167" s="4">
        <v>0.39583333333333331</v>
      </c>
      <c r="M167" s="3" t="s">
        <v>200</v>
      </c>
      <c r="N167" s="3" t="s">
        <v>24</v>
      </c>
      <c r="O167" s="3" t="s">
        <v>25</v>
      </c>
    </row>
    <row r="168" spans="1:15">
      <c r="A168" s="3" t="s">
        <v>15</v>
      </c>
      <c r="B168" s="3" t="str">
        <f>"FES1162739540"</f>
        <v>FES1162739540</v>
      </c>
      <c r="C168" s="3" t="s">
        <v>16</v>
      </c>
      <c r="D168" s="3">
        <v>1</v>
      </c>
      <c r="E168" s="3">
        <v>2170731244</v>
      </c>
      <c r="F168" s="3" t="s">
        <v>17</v>
      </c>
      <c r="G168" s="3" t="s">
        <v>18</v>
      </c>
      <c r="H168" s="3" t="s">
        <v>19</v>
      </c>
      <c r="I168" s="3" t="s">
        <v>51</v>
      </c>
      <c r="J168" s="3" t="s">
        <v>52</v>
      </c>
      <c r="K168" s="3" t="s">
        <v>22</v>
      </c>
      <c r="L168" s="4">
        <v>0.31944444444444448</v>
      </c>
      <c r="M168" s="3" t="s">
        <v>53</v>
      </c>
      <c r="N168" s="3" t="s">
        <v>24</v>
      </c>
      <c r="O168" s="3" t="s">
        <v>25</v>
      </c>
    </row>
    <row r="169" spans="1:15">
      <c r="A169" s="3" t="s">
        <v>15</v>
      </c>
      <c r="B169" s="3" t="str">
        <f>"FES1162739524"</f>
        <v>FES1162739524</v>
      </c>
      <c r="C169" s="3" t="s">
        <v>16</v>
      </c>
      <c r="D169" s="3">
        <v>1</v>
      </c>
      <c r="E169" s="3">
        <v>2170731224</v>
      </c>
      <c r="F169" s="3" t="s">
        <v>17</v>
      </c>
      <c r="G169" s="3" t="s">
        <v>18</v>
      </c>
      <c r="H169" s="3" t="s">
        <v>19</v>
      </c>
      <c r="I169" s="3" t="s">
        <v>20</v>
      </c>
      <c r="J169" s="3" t="s">
        <v>280</v>
      </c>
      <c r="K169" s="3" t="s">
        <v>22</v>
      </c>
      <c r="L169" s="4">
        <v>0.3972222222222222</v>
      </c>
      <c r="M169" s="3" t="s">
        <v>281</v>
      </c>
      <c r="N169" s="3" t="s">
        <v>24</v>
      </c>
      <c r="O169" s="3" t="s">
        <v>25</v>
      </c>
    </row>
    <row r="170" spans="1:15">
      <c r="A170" s="3" t="s">
        <v>15</v>
      </c>
      <c r="B170" s="3" t="str">
        <f>"FES1162739562"</f>
        <v>FES1162739562</v>
      </c>
      <c r="C170" s="3" t="s">
        <v>16</v>
      </c>
      <c r="D170" s="3">
        <v>1</v>
      </c>
      <c r="E170" s="3">
        <v>2170731274</v>
      </c>
      <c r="F170" s="3" t="s">
        <v>17</v>
      </c>
      <c r="G170" s="3" t="s">
        <v>18</v>
      </c>
      <c r="H170" s="3" t="s">
        <v>19</v>
      </c>
      <c r="I170" s="3" t="s">
        <v>20</v>
      </c>
      <c r="J170" s="3" t="s">
        <v>84</v>
      </c>
      <c r="K170" s="3" t="s">
        <v>22</v>
      </c>
      <c r="L170" s="4">
        <v>0.38819444444444445</v>
      </c>
      <c r="M170" s="3" t="s">
        <v>85</v>
      </c>
      <c r="N170" s="3" t="s">
        <v>24</v>
      </c>
      <c r="O170" s="3" t="s">
        <v>25</v>
      </c>
    </row>
    <row r="171" spans="1:15">
      <c r="A171" s="3" t="s">
        <v>15</v>
      </c>
      <c r="B171" s="3" t="str">
        <f>"FES1162739529"</f>
        <v>FES1162739529</v>
      </c>
      <c r="C171" s="3" t="s">
        <v>16</v>
      </c>
      <c r="D171" s="3">
        <v>2</v>
      </c>
      <c r="E171" s="3">
        <v>2170731229</v>
      </c>
      <c r="F171" s="3" t="s">
        <v>214</v>
      </c>
      <c r="G171" s="3" t="s">
        <v>18</v>
      </c>
      <c r="H171" s="3" t="s">
        <v>40</v>
      </c>
      <c r="I171" s="3" t="s">
        <v>41</v>
      </c>
      <c r="J171" s="3" t="s">
        <v>282</v>
      </c>
      <c r="K171" s="3" t="s">
        <v>22</v>
      </c>
      <c r="L171" s="4">
        <v>0.4201388888888889</v>
      </c>
      <c r="M171" s="3" t="s">
        <v>283</v>
      </c>
      <c r="N171" s="3" t="s">
        <v>24</v>
      </c>
      <c r="O171" s="3" t="s">
        <v>25</v>
      </c>
    </row>
    <row r="172" spans="1:15">
      <c r="A172" s="3" t="s">
        <v>15</v>
      </c>
      <c r="B172" s="3" t="str">
        <f>"FES1162739429"</f>
        <v>FES1162739429</v>
      </c>
      <c r="C172" s="3" t="s">
        <v>16</v>
      </c>
      <c r="D172" s="3">
        <v>1</v>
      </c>
      <c r="E172" s="3">
        <v>2170731110</v>
      </c>
      <c r="F172" s="3" t="s">
        <v>17</v>
      </c>
      <c r="G172" s="3" t="s">
        <v>18</v>
      </c>
      <c r="H172" s="3" t="s">
        <v>18</v>
      </c>
      <c r="I172" s="3" t="s">
        <v>33</v>
      </c>
      <c r="J172" s="3" t="s">
        <v>284</v>
      </c>
      <c r="K172" s="3" t="s">
        <v>22</v>
      </c>
      <c r="L172" s="4">
        <v>0.375</v>
      </c>
      <c r="M172" s="3" t="s">
        <v>268</v>
      </c>
      <c r="N172" s="3" t="s">
        <v>24</v>
      </c>
      <c r="O172" s="3" t="s">
        <v>25</v>
      </c>
    </row>
    <row r="173" spans="1:15">
      <c r="A173" s="3" t="s">
        <v>15</v>
      </c>
      <c r="B173" s="3" t="str">
        <f>"FES1162739544"</f>
        <v>FES1162739544</v>
      </c>
      <c r="C173" s="3" t="s">
        <v>16</v>
      </c>
      <c r="D173" s="3">
        <v>1</v>
      </c>
      <c r="E173" s="3">
        <v>2170731248</v>
      </c>
      <c r="F173" s="3" t="s">
        <v>17</v>
      </c>
      <c r="G173" s="3" t="s">
        <v>18</v>
      </c>
      <c r="H173" s="3" t="s">
        <v>46</v>
      </c>
      <c r="I173" s="3" t="s">
        <v>47</v>
      </c>
      <c r="J173" s="3" t="s">
        <v>48</v>
      </c>
      <c r="K173" s="3" t="s">
        <v>22</v>
      </c>
      <c r="L173" s="4">
        <v>0.43263888888888885</v>
      </c>
      <c r="M173" s="3" t="s">
        <v>48</v>
      </c>
      <c r="N173" s="3" t="s">
        <v>24</v>
      </c>
      <c r="O173" s="3" t="s">
        <v>25</v>
      </c>
    </row>
    <row r="174" spans="1:15">
      <c r="A174" s="3" t="s">
        <v>15</v>
      </c>
      <c r="B174" s="3" t="str">
        <f>"FES1162739538"</f>
        <v>FES1162739538</v>
      </c>
      <c r="C174" s="3" t="s">
        <v>16</v>
      </c>
      <c r="D174" s="3">
        <v>1</v>
      </c>
      <c r="E174" s="3">
        <v>2170731241</v>
      </c>
      <c r="F174" s="3" t="s">
        <v>17</v>
      </c>
      <c r="G174" s="3" t="s">
        <v>18</v>
      </c>
      <c r="H174" s="3" t="s">
        <v>100</v>
      </c>
      <c r="I174" s="3" t="s">
        <v>101</v>
      </c>
      <c r="J174" s="3" t="s">
        <v>265</v>
      </c>
      <c r="K174" s="3" t="s">
        <v>22</v>
      </c>
      <c r="L174" s="4">
        <v>0.35625000000000001</v>
      </c>
      <c r="M174" s="3" t="s">
        <v>266</v>
      </c>
      <c r="N174" s="3" t="s">
        <v>24</v>
      </c>
      <c r="O174" s="3" t="s">
        <v>25</v>
      </c>
    </row>
    <row r="175" spans="1:15">
      <c r="A175" s="3" t="s">
        <v>15</v>
      </c>
      <c r="B175" s="3" t="str">
        <f>"FES1162739537"</f>
        <v>FES1162739537</v>
      </c>
      <c r="C175" s="3" t="s">
        <v>16</v>
      </c>
      <c r="D175" s="3">
        <v>1</v>
      </c>
      <c r="E175" s="3">
        <v>2170730919</v>
      </c>
      <c r="F175" s="3" t="s">
        <v>17</v>
      </c>
      <c r="G175" s="3" t="s">
        <v>18</v>
      </c>
      <c r="H175" s="3" t="s">
        <v>100</v>
      </c>
      <c r="I175" s="3" t="s">
        <v>101</v>
      </c>
      <c r="J175" s="3" t="s">
        <v>131</v>
      </c>
      <c r="K175" s="3" t="s">
        <v>22</v>
      </c>
      <c r="L175" s="4">
        <v>0.39374999999999999</v>
      </c>
      <c r="M175" s="3" t="s">
        <v>132</v>
      </c>
      <c r="N175" s="3" t="s">
        <v>24</v>
      </c>
      <c r="O175" s="3" t="s">
        <v>25</v>
      </c>
    </row>
    <row r="176" spans="1:15">
      <c r="A176" s="3" t="s">
        <v>15</v>
      </c>
      <c r="B176" s="3" t="str">
        <f>"FES1162739482"</f>
        <v>FES1162739482</v>
      </c>
      <c r="C176" s="3" t="s">
        <v>16</v>
      </c>
      <c r="D176" s="3">
        <v>1</v>
      </c>
      <c r="E176" s="3">
        <v>2170731175</v>
      </c>
      <c r="F176" s="3" t="s">
        <v>17</v>
      </c>
      <c r="G176" s="3" t="s">
        <v>18</v>
      </c>
      <c r="H176" s="3" t="s">
        <v>100</v>
      </c>
      <c r="I176" s="3" t="s">
        <v>117</v>
      </c>
      <c r="J176" s="3" t="s">
        <v>285</v>
      </c>
      <c r="K176" s="3" t="s">
        <v>22</v>
      </c>
      <c r="L176" s="4">
        <v>0.47569444444444442</v>
      </c>
      <c r="M176" s="3" t="s">
        <v>286</v>
      </c>
      <c r="N176" s="3" t="s">
        <v>24</v>
      </c>
      <c r="O176" s="3" t="s">
        <v>25</v>
      </c>
    </row>
    <row r="177" spans="1:15">
      <c r="A177" s="3" t="s">
        <v>15</v>
      </c>
      <c r="B177" s="3" t="str">
        <f>"FES1162739568"</f>
        <v>FES1162739568</v>
      </c>
      <c r="C177" s="3" t="s">
        <v>16</v>
      </c>
      <c r="D177" s="3">
        <v>1</v>
      </c>
      <c r="E177" s="3">
        <v>21707312278</v>
      </c>
      <c r="F177" s="3" t="s">
        <v>17</v>
      </c>
      <c r="G177" s="3" t="s">
        <v>18</v>
      </c>
      <c r="H177" s="3" t="s">
        <v>46</v>
      </c>
      <c r="I177" s="3" t="s">
        <v>47</v>
      </c>
      <c r="J177" s="3" t="s">
        <v>48</v>
      </c>
      <c r="K177" s="3" t="s">
        <v>22</v>
      </c>
      <c r="L177" s="4">
        <v>0.43263888888888885</v>
      </c>
      <c r="M177" s="3" t="s">
        <v>48</v>
      </c>
      <c r="N177" s="3" t="s">
        <v>24</v>
      </c>
      <c r="O177" s="3" t="s">
        <v>25</v>
      </c>
    </row>
    <row r="178" spans="1:15">
      <c r="A178" s="3" t="s">
        <v>15</v>
      </c>
      <c r="B178" s="3" t="str">
        <f>"FES1162739570"</f>
        <v>FES1162739570</v>
      </c>
      <c r="C178" s="3" t="s">
        <v>16</v>
      </c>
      <c r="D178" s="3">
        <v>1</v>
      </c>
      <c r="E178" s="3">
        <v>2170731280</v>
      </c>
      <c r="F178" s="3" t="s">
        <v>17</v>
      </c>
      <c r="G178" s="3" t="s">
        <v>18</v>
      </c>
      <c r="H178" s="3" t="s">
        <v>46</v>
      </c>
      <c r="I178" s="3" t="s">
        <v>47</v>
      </c>
      <c r="J178" s="3" t="s">
        <v>48</v>
      </c>
      <c r="K178" s="3" t="s">
        <v>22</v>
      </c>
      <c r="L178" s="4">
        <v>0.43263888888888885</v>
      </c>
      <c r="M178" s="3" t="s">
        <v>48</v>
      </c>
      <c r="N178" s="3" t="s">
        <v>24</v>
      </c>
      <c r="O178" s="3" t="s">
        <v>25</v>
      </c>
    </row>
    <row r="179" spans="1:15">
      <c r="A179" s="3" t="s">
        <v>15</v>
      </c>
      <c r="B179" s="3" t="str">
        <f>"FES1162739532"</f>
        <v>FES1162739532</v>
      </c>
      <c r="C179" s="3" t="s">
        <v>16</v>
      </c>
      <c r="D179" s="3">
        <v>1</v>
      </c>
      <c r="E179" s="3">
        <v>2170731235</v>
      </c>
      <c r="F179" s="3" t="s">
        <v>17</v>
      </c>
      <c r="G179" s="3" t="s">
        <v>18</v>
      </c>
      <c r="H179" s="3" t="s">
        <v>66</v>
      </c>
      <c r="I179" s="3" t="s">
        <v>67</v>
      </c>
      <c r="J179" s="3" t="s">
        <v>287</v>
      </c>
      <c r="K179" s="3" t="s">
        <v>22</v>
      </c>
      <c r="L179" s="4">
        <v>0.3444444444444445</v>
      </c>
      <c r="M179" s="3" t="s">
        <v>288</v>
      </c>
      <c r="N179" s="3" t="s">
        <v>24</v>
      </c>
      <c r="O179" s="3" t="s">
        <v>25</v>
      </c>
    </row>
    <row r="180" spans="1:15">
      <c r="A180" s="3" t="s">
        <v>15</v>
      </c>
      <c r="B180" s="3" t="str">
        <f>"FES1162739535"</f>
        <v>FES1162739535</v>
      </c>
      <c r="C180" s="3" t="s">
        <v>16</v>
      </c>
      <c r="D180" s="3">
        <v>1</v>
      </c>
      <c r="E180" s="3">
        <v>2170731238</v>
      </c>
      <c r="F180" s="3" t="s">
        <v>17</v>
      </c>
      <c r="G180" s="3" t="s">
        <v>18</v>
      </c>
      <c r="H180" s="3" t="s">
        <v>66</v>
      </c>
      <c r="I180" s="3" t="s">
        <v>67</v>
      </c>
      <c r="J180" s="3" t="s">
        <v>287</v>
      </c>
      <c r="K180" s="3" t="s">
        <v>22</v>
      </c>
      <c r="L180" s="4">
        <v>0.3444444444444445</v>
      </c>
      <c r="M180" s="3" t="s">
        <v>288</v>
      </c>
      <c r="N180" s="3" t="s">
        <v>24</v>
      </c>
      <c r="O180" s="3" t="s">
        <v>25</v>
      </c>
    </row>
    <row r="181" spans="1:15">
      <c r="A181" s="3" t="s">
        <v>15</v>
      </c>
      <c r="B181" s="3" t="str">
        <f>"FES1162739563"</f>
        <v>FES1162739563</v>
      </c>
      <c r="C181" s="3" t="s">
        <v>16</v>
      </c>
      <c r="D181" s="3">
        <v>1</v>
      </c>
      <c r="E181" s="3">
        <v>2170730067</v>
      </c>
      <c r="F181" s="3" t="s">
        <v>17</v>
      </c>
      <c r="G181" s="3" t="s">
        <v>18</v>
      </c>
      <c r="H181" s="3" t="s">
        <v>36</v>
      </c>
      <c r="I181" s="3" t="s">
        <v>37</v>
      </c>
      <c r="J181" s="3" t="s">
        <v>187</v>
      </c>
      <c r="K181" s="3" t="s">
        <v>22</v>
      </c>
      <c r="L181" s="4">
        <v>0.3527777777777778</v>
      </c>
      <c r="M181" s="3" t="s">
        <v>188</v>
      </c>
      <c r="N181" s="3" t="s">
        <v>24</v>
      </c>
      <c r="O181" s="3" t="s">
        <v>25</v>
      </c>
    </row>
    <row r="182" spans="1:15">
      <c r="A182" s="3" t="s">
        <v>15</v>
      </c>
      <c r="B182" s="3" t="str">
        <f>"FES1162739564"</f>
        <v>FES1162739564</v>
      </c>
      <c r="C182" s="3" t="s">
        <v>16</v>
      </c>
      <c r="D182" s="3">
        <v>1</v>
      </c>
      <c r="E182" s="3">
        <v>2170730065</v>
      </c>
      <c r="F182" s="3" t="s">
        <v>17</v>
      </c>
      <c r="G182" s="3" t="s">
        <v>18</v>
      </c>
      <c r="H182" s="3" t="s">
        <v>36</v>
      </c>
      <c r="I182" s="3" t="s">
        <v>37</v>
      </c>
      <c r="J182" s="3" t="s">
        <v>187</v>
      </c>
      <c r="K182" s="3" t="s">
        <v>22</v>
      </c>
      <c r="L182" s="4">
        <v>0.3527777777777778</v>
      </c>
      <c r="M182" s="3" t="s">
        <v>188</v>
      </c>
      <c r="N182" s="3" t="s">
        <v>24</v>
      </c>
      <c r="O182" s="3" t="s">
        <v>25</v>
      </c>
    </row>
    <row r="183" spans="1:15">
      <c r="A183" s="3" t="s">
        <v>15</v>
      </c>
      <c r="B183" s="3" t="str">
        <f>"FES1162739413"</f>
        <v>FES1162739413</v>
      </c>
      <c r="C183" s="3" t="s">
        <v>16</v>
      </c>
      <c r="D183" s="3">
        <v>1</v>
      </c>
      <c r="E183" s="3">
        <v>2170731089</v>
      </c>
      <c r="F183" s="3" t="s">
        <v>17</v>
      </c>
      <c r="G183" s="3" t="s">
        <v>18</v>
      </c>
      <c r="H183" s="3" t="s">
        <v>100</v>
      </c>
      <c r="I183" s="3" t="s">
        <v>101</v>
      </c>
      <c r="J183" s="3" t="s">
        <v>289</v>
      </c>
      <c r="K183" s="3" t="s">
        <v>22</v>
      </c>
      <c r="L183" s="4">
        <v>0.4201388888888889</v>
      </c>
      <c r="M183" s="3" t="s">
        <v>290</v>
      </c>
      <c r="N183" s="3" t="s">
        <v>24</v>
      </c>
      <c r="O183" s="3" t="s">
        <v>25</v>
      </c>
    </row>
    <row r="184" spans="1:15">
      <c r="A184" s="3" t="s">
        <v>15</v>
      </c>
      <c r="B184" s="3" t="str">
        <f>"FES1162739473"</f>
        <v>FES1162739473</v>
      </c>
      <c r="C184" s="3" t="s">
        <v>16</v>
      </c>
      <c r="D184" s="3">
        <v>1</v>
      </c>
      <c r="E184" s="3">
        <v>2170731155</v>
      </c>
      <c r="F184" s="3" t="s">
        <v>17</v>
      </c>
      <c r="G184" s="3" t="s">
        <v>18</v>
      </c>
      <c r="H184" s="3" t="s">
        <v>100</v>
      </c>
      <c r="I184" s="3" t="s">
        <v>101</v>
      </c>
      <c r="J184" s="3" t="s">
        <v>102</v>
      </c>
      <c r="K184" s="3" t="s">
        <v>22</v>
      </c>
      <c r="L184" s="4">
        <v>0.37083333333333335</v>
      </c>
      <c r="M184" s="3" t="s">
        <v>103</v>
      </c>
      <c r="N184" s="3" t="s">
        <v>24</v>
      </c>
      <c r="O184" s="3" t="s">
        <v>25</v>
      </c>
    </row>
    <row r="185" spans="1:15">
      <c r="A185" s="3" t="s">
        <v>15</v>
      </c>
      <c r="B185" s="3" t="str">
        <f>"FES1162739519"</f>
        <v>FES1162739519</v>
      </c>
      <c r="C185" s="3" t="s">
        <v>16</v>
      </c>
      <c r="D185" s="3">
        <v>1</v>
      </c>
      <c r="E185" s="3">
        <v>2170731217</v>
      </c>
      <c r="F185" s="3" t="s">
        <v>17</v>
      </c>
      <c r="G185" s="3" t="s">
        <v>18</v>
      </c>
      <c r="H185" s="3" t="s">
        <v>100</v>
      </c>
      <c r="I185" s="3" t="s">
        <v>101</v>
      </c>
      <c r="J185" s="3" t="s">
        <v>137</v>
      </c>
      <c r="K185" s="3" t="s">
        <v>22</v>
      </c>
      <c r="L185" s="4">
        <v>0.47916666666666669</v>
      </c>
      <c r="M185" s="3" t="s">
        <v>83</v>
      </c>
      <c r="N185" s="3" t="s">
        <v>24</v>
      </c>
      <c r="O185" s="3" t="s">
        <v>25</v>
      </c>
    </row>
    <row r="186" spans="1:15">
      <c r="A186" s="3" t="s">
        <v>15</v>
      </c>
      <c r="B186" s="3" t="str">
        <f>"FES1162739404"</f>
        <v>FES1162739404</v>
      </c>
      <c r="C186" s="3" t="s">
        <v>16</v>
      </c>
      <c r="D186" s="3">
        <v>1</v>
      </c>
      <c r="E186" s="3">
        <v>2170731037</v>
      </c>
      <c r="F186" s="3" t="s">
        <v>17</v>
      </c>
      <c r="G186" s="3" t="s">
        <v>18</v>
      </c>
      <c r="H186" s="3" t="s">
        <v>18</v>
      </c>
      <c r="I186" s="3" t="s">
        <v>33</v>
      </c>
      <c r="J186" s="3" t="s">
        <v>34</v>
      </c>
      <c r="K186" s="3" t="s">
        <v>22</v>
      </c>
      <c r="L186" s="4">
        <v>0.40625</v>
      </c>
      <c r="M186" s="3" t="s">
        <v>35</v>
      </c>
      <c r="N186" s="3" t="s">
        <v>24</v>
      </c>
      <c r="O186" s="3" t="s">
        <v>25</v>
      </c>
    </row>
    <row r="187" spans="1:15">
      <c r="A187" s="3" t="s">
        <v>15</v>
      </c>
      <c r="B187" s="3" t="str">
        <f>"FES1162739450"</f>
        <v>FES1162739450</v>
      </c>
      <c r="C187" s="3" t="s">
        <v>16</v>
      </c>
      <c r="D187" s="3">
        <v>1</v>
      </c>
      <c r="E187" s="3">
        <v>2170731063</v>
      </c>
      <c r="F187" s="3" t="s">
        <v>17</v>
      </c>
      <c r="G187" s="3" t="s">
        <v>18</v>
      </c>
      <c r="H187" s="3" t="s">
        <v>18</v>
      </c>
      <c r="I187" s="3" t="s">
        <v>291</v>
      </c>
      <c r="J187" s="3" t="s">
        <v>292</v>
      </c>
      <c r="K187" s="3" t="s">
        <v>22</v>
      </c>
      <c r="L187" s="4">
        <v>0.35972222222222222</v>
      </c>
      <c r="M187" s="3" t="s">
        <v>293</v>
      </c>
      <c r="N187" s="3" t="s">
        <v>24</v>
      </c>
      <c r="O187" s="3" t="s">
        <v>25</v>
      </c>
    </row>
    <row r="188" spans="1:15">
      <c r="A188" s="3" t="s">
        <v>15</v>
      </c>
      <c r="B188" s="3" t="str">
        <f>"FES1162739531"</f>
        <v>FES1162739531</v>
      </c>
      <c r="C188" s="3" t="s">
        <v>16</v>
      </c>
      <c r="D188" s="3">
        <v>1</v>
      </c>
      <c r="E188" s="3">
        <v>2170731234</v>
      </c>
      <c r="F188" s="3" t="s">
        <v>17</v>
      </c>
      <c r="G188" s="3" t="s">
        <v>18</v>
      </c>
      <c r="H188" s="3" t="s">
        <v>19</v>
      </c>
      <c r="I188" s="3" t="s">
        <v>20</v>
      </c>
      <c r="J188" s="3" t="s">
        <v>294</v>
      </c>
      <c r="K188" s="3" t="s">
        <v>22</v>
      </c>
      <c r="L188" s="4">
        <v>0.52916666666666667</v>
      </c>
      <c r="M188" s="3" t="s">
        <v>295</v>
      </c>
      <c r="N188" s="3" t="s">
        <v>24</v>
      </c>
      <c r="O188" s="3" t="s">
        <v>25</v>
      </c>
    </row>
    <row r="189" spans="1:15">
      <c r="A189" s="3" t="s">
        <v>15</v>
      </c>
      <c r="B189" s="3" t="str">
        <f>"FES1162739449"</f>
        <v>FES1162739449</v>
      </c>
      <c r="C189" s="3" t="s">
        <v>16</v>
      </c>
      <c r="D189" s="3">
        <v>1</v>
      </c>
      <c r="E189" s="3">
        <v>2170730159</v>
      </c>
      <c r="F189" s="3" t="s">
        <v>17</v>
      </c>
      <c r="G189" s="3" t="s">
        <v>18</v>
      </c>
      <c r="H189" s="3" t="s">
        <v>18</v>
      </c>
      <c r="I189" s="3" t="s">
        <v>291</v>
      </c>
      <c r="J189" s="3" t="s">
        <v>292</v>
      </c>
      <c r="K189" s="3" t="s">
        <v>22</v>
      </c>
      <c r="L189" s="4">
        <v>0.4375</v>
      </c>
      <c r="M189" s="3" t="s">
        <v>293</v>
      </c>
      <c r="N189" s="3" t="s">
        <v>24</v>
      </c>
      <c r="O189" s="3" t="s">
        <v>25</v>
      </c>
    </row>
    <row r="190" spans="1:15">
      <c r="A190" s="3" t="s">
        <v>15</v>
      </c>
      <c r="B190" s="3" t="str">
        <f>"FES1162739567"</f>
        <v>FES1162739567</v>
      </c>
      <c r="C190" s="3" t="s">
        <v>16</v>
      </c>
      <c r="D190" s="3">
        <v>1</v>
      </c>
      <c r="E190" s="3">
        <v>2170731276</v>
      </c>
      <c r="F190" s="3" t="s">
        <v>17</v>
      </c>
      <c r="G190" s="3" t="s">
        <v>18</v>
      </c>
      <c r="H190" s="3" t="s">
        <v>100</v>
      </c>
      <c r="I190" s="3" t="s">
        <v>101</v>
      </c>
      <c r="J190" s="3" t="s">
        <v>296</v>
      </c>
      <c r="K190" s="3" t="s">
        <v>22</v>
      </c>
      <c r="L190" s="4">
        <v>0.37638888888888888</v>
      </c>
      <c r="M190" s="3" t="s">
        <v>297</v>
      </c>
      <c r="N190" s="3" t="s">
        <v>24</v>
      </c>
      <c r="O190" s="3" t="s">
        <v>25</v>
      </c>
    </row>
    <row r="191" spans="1:15">
      <c r="A191" s="3" t="s">
        <v>15</v>
      </c>
      <c r="B191" s="3" t="str">
        <f>"FES1162739460"</f>
        <v>FES1162739460</v>
      </c>
      <c r="C191" s="3" t="s">
        <v>16</v>
      </c>
      <c r="D191" s="3">
        <v>1</v>
      </c>
      <c r="E191" s="3">
        <v>2170731074</v>
      </c>
      <c r="F191" s="3" t="s">
        <v>17</v>
      </c>
      <c r="G191" s="3" t="s">
        <v>18</v>
      </c>
      <c r="H191" s="3" t="s">
        <v>66</v>
      </c>
      <c r="I191" s="3" t="s">
        <v>67</v>
      </c>
      <c r="J191" s="3" t="s">
        <v>298</v>
      </c>
      <c r="K191" s="3" t="s">
        <v>22</v>
      </c>
      <c r="L191" s="4">
        <v>0.34722222222222227</v>
      </c>
      <c r="M191" s="3" t="s">
        <v>299</v>
      </c>
      <c r="N191" s="3" t="s">
        <v>24</v>
      </c>
      <c r="O191" s="3" t="s">
        <v>25</v>
      </c>
    </row>
    <row r="192" spans="1:15">
      <c r="A192" s="3" t="s">
        <v>15</v>
      </c>
      <c r="B192" s="3" t="str">
        <f>"FES1162739397"</f>
        <v>FES1162739397</v>
      </c>
      <c r="C192" s="3" t="s">
        <v>16</v>
      </c>
      <c r="D192" s="3">
        <v>1</v>
      </c>
      <c r="E192" s="3">
        <v>2170731065</v>
      </c>
      <c r="F192" s="3" t="s">
        <v>17</v>
      </c>
      <c r="G192" s="3" t="s">
        <v>18</v>
      </c>
      <c r="H192" s="3" t="s">
        <v>18</v>
      </c>
      <c r="I192" s="3" t="s">
        <v>171</v>
      </c>
      <c r="J192" s="3" t="s">
        <v>300</v>
      </c>
      <c r="K192" s="3" t="s">
        <v>22</v>
      </c>
      <c r="L192" s="4">
        <v>0.3611111111111111</v>
      </c>
      <c r="M192" s="3" t="s">
        <v>301</v>
      </c>
      <c r="N192" s="3" t="s">
        <v>24</v>
      </c>
      <c r="O192" s="3" t="s">
        <v>25</v>
      </c>
    </row>
    <row r="193" spans="1:15">
      <c r="A193" s="3" t="s">
        <v>15</v>
      </c>
      <c r="B193" s="3" t="str">
        <f>"FES1162739457"</f>
        <v>FES1162739457</v>
      </c>
      <c r="C193" s="3" t="s">
        <v>16</v>
      </c>
      <c r="D193" s="3">
        <v>1</v>
      </c>
      <c r="E193" s="3">
        <v>2170731139</v>
      </c>
      <c r="F193" s="3" t="s">
        <v>17</v>
      </c>
      <c r="G193" s="3" t="s">
        <v>18</v>
      </c>
      <c r="H193" s="3" t="s">
        <v>18</v>
      </c>
      <c r="I193" s="3" t="s">
        <v>168</v>
      </c>
      <c r="J193" s="3" t="s">
        <v>302</v>
      </c>
      <c r="K193" s="3" t="s">
        <v>22</v>
      </c>
      <c r="L193" s="4">
        <v>0.43611111111111112</v>
      </c>
      <c r="M193" s="3" t="s">
        <v>303</v>
      </c>
      <c r="N193" s="3" t="s">
        <v>24</v>
      </c>
      <c r="O193" s="3" t="s">
        <v>25</v>
      </c>
    </row>
    <row r="194" spans="1:15">
      <c r="A194" s="3" t="s">
        <v>15</v>
      </c>
      <c r="B194" s="3" t="str">
        <f>"FES1162739461"</f>
        <v>FES1162739461</v>
      </c>
      <c r="C194" s="3" t="s">
        <v>16</v>
      </c>
      <c r="D194" s="3">
        <v>1</v>
      </c>
      <c r="E194" s="3">
        <v>2170731142</v>
      </c>
      <c r="F194" s="3" t="s">
        <v>17</v>
      </c>
      <c r="G194" s="3" t="s">
        <v>18</v>
      </c>
      <c r="H194" s="3" t="s">
        <v>18</v>
      </c>
      <c r="I194" s="3" t="s">
        <v>171</v>
      </c>
      <c r="J194" s="3" t="s">
        <v>197</v>
      </c>
      <c r="K194" s="3" t="s">
        <v>22</v>
      </c>
      <c r="L194" s="4">
        <v>0.34027777777777773</v>
      </c>
      <c r="M194" s="3" t="s">
        <v>198</v>
      </c>
      <c r="N194" s="3" t="s">
        <v>24</v>
      </c>
      <c r="O194" s="3" t="s">
        <v>25</v>
      </c>
    </row>
    <row r="195" spans="1:15">
      <c r="A195" s="3" t="s">
        <v>15</v>
      </c>
      <c r="B195" s="3" t="str">
        <f>"FES1162739392"</f>
        <v>FES1162739392</v>
      </c>
      <c r="C195" s="3" t="s">
        <v>16</v>
      </c>
      <c r="D195" s="3">
        <v>1</v>
      </c>
      <c r="E195" s="3">
        <v>2170729472</v>
      </c>
      <c r="F195" s="3" t="s">
        <v>17</v>
      </c>
      <c r="G195" s="3" t="s">
        <v>18</v>
      </c>
      <c r="H195" s="3" t="s">
        <v>18</v>
      </c>
      <c r="I195" s="3" t="s">
        <v>168</v>
      </c>
      <c r="J195" s="3" t="s">
        <v>302</v>
      </c>
      <c r="K195" s="3" t="s">
        <v>22</v>
      </c>
      <c r="L195" s="4">
        <v>0.41666666666666669</v>
      </c>
      <c r="M195" s="3" t="s">
        <v>304</v>
      </c>
      <c r="N195" s="3" t="s">
        <v>24</v>
      </c>
      <c r="O195" s="3" t="s">
        <v>25</v>
      </c>
    </row>
    <row r="196" spans="1:15">
      <c r="A196" s="3" t="s">
        <v>15</v>
      </c>
      <c r="B196" s="3" t="str">
        <f>"FES1162739436"</f>
        <v>FES1162739436</v>
      </c>
      <c r="C196" s="3" t="s">
        <v>16</v>
      </c>
      <c r="D196" s="3">
        <v>1</v>
      </c>
      <c r="E196" s="3">
        <v>2170731120</v>
      </c>
      <c r="F196" s="3" t="s">
        <v>17</v>
      </c>
      <c r="G196" s="3" t="s">
        <v>18</v>
      </c>
      <c r="H196" s="3" t="s">
        <v>36</v>
      </c>
      <c r="I196" s="3" t="s">
        <v>174</v>
      </c>
      <c r="J196" s="3" t="s">
        <v>305</v>
      </c>
      <c r="K196" s="3" t="s">
        <v>22</v>
      </c>
      <c r="L196" s="4">
        <v>0.35902777777777778</v>
      </c>
      <c r="M196" s="3" t="s">
        <v>306</v>
      </c>
      <c r="N196" s="3" t="s">
        <v>24</v>
      </c>
      <c r="O196" s="3" t="s">
        <v>25</v>
      </c>
    </row>
    <row r="197" spans="1:15">
      <c r="A197" s="3" t="s">
        <v>15</v>
      </c>
      <c r="B197" s="3" t="str">
        <f>"FES1162739507"</f>
        <v>FES1162739507</v>
      </c>
      <c r="C197" s="3" t="s">
        <v>16</v>
      </c>
      <c r="D197" s="3">
        <v>1</v>
      </c>
      <c r="E197" s="3">
        <v>2170731200</v>
      </c>
      <c r="F197" s="3" t="s">
        <v>17</v>
      </c>
      <c r="G197" s="3" t="s">
        <v>18</v>
      </c>
      <c r="H197" s="3" t="s">
        <v>18</v>
      </c>
      <c r="I197" s="3" t="s">
        <v>29</v>
      </c>
      <c r="J197" s="3" t="s">
        <v>307</v>
      </c>
      <c r="K197" s="3" t="s">
        <v>22</v>
      </c>
      <c r="L197" s="4">
        <v>0.32847222222222222</v>
      </c>
      <c r="M197" s="3" t="s">
        <v>308</v>
      </c>
      <c r="N197" s="3" t="s">
        <v>24</v>
      </c>
      <c r="O197" s="3" t="s">
        <v>25</v>
      </c>
    </row>
    <row r="198" spans="1:15">
      <c r="A198" s="3" t="s">
        <v>15</v>
      </c>
      <c r="B198" s="3" t="str">
        <f>"FES1162739513"</f>
        <v>FES1162739513</v>
      </c>
      <c r="C198" s="3" t="s">
        <v>16</v>
      </c>
      <c r="D198" s="3">
        <v>1</v>
      </c>
      <c r="E198" s="3">
        <v>2170731211</v>
      </c>
      <c r="F198" s="3" t="s">
        <v>17</v>
      </c>
      <c r="G198" s="3" t="s">
        <v>18</v>
      </c>
      <c r="H198" s="3" t="s">
        <v>18</v>
      </c>
      <c r="I198" s="3" t="s">
        <v>309</v>
      </c>
      <c r="J198" s="3" t="s">
        <v>278</v>
      </c>
      <c r="K198" s="3" t="s">
        <v>22</v>
      </c>
      <c r="L198" s="4">
        <v>0.40625</v>
      </c>
      <c r="M198" s="3" t="s">
        <v>310</v>
      </c>
      <c r="N198" s="3" t="s">
        <v>24</v>
      </c>
      <c r="O198" s="3" t="s">
        <v>25</v>
      </c>
    </row>
    <row r="199" spans="1:15">
      <c r="A199" s="3" t="s">
        <v>15</v>
      </c>
      <c r="B199" s="3" t="str">
        <f>"FES1162739446"</f>
        <v>FES1162739446</v>
      </c>
      <c r="C199" s="3" t="s">
        <v>16</v>
      </c>
      <c r="D199" s="3">
        <v>1</v>
      </c>
      <c r="E199" s="3">
        <v>2170731129</v>
      </c>
      <c r="F199" s="3" t="s">
        <v>17</v>
      </c>
      <c r="G199" s="3" t="s">
        <v>18</v>
      </c>
      <c r="H199" s="3" t="s">
        <v>18</v>
      </c>
      <c r="I199" s="3" t="s">
        <v>171</v>
      </c>
      <c r="J199" s="3" t="s">
        <v>311</v>
      </c>
      <c r="K199" s="3" t="s">
        <v>22</v>
      </c>
      <c r="L199" s="4">
        <v>0.39583333333333331</v>
      </c>
      <c r="M199" s="3" t="s">
        <v>312</v>
      </c>
      <c r="N199" s="3" t="s">
        <v>24</v>
      </c>
      <c r="O199" s="3" t="s">
        <v>25</v>
      </c>
    </row>
    <row r="200" spans="1:15">
      <c r="A200" s="3" t="s">
        <v>15</v>
      </c>
      <c r="B200" s="3" t="str">
        <f>"009935712343"</f>
        <v>009935712343</v>
      </c>
      <c r="C200" s="3" t="s">
        <v>16</v>
      </c>
      <c r="D200" s="3">
        <v>1</v>
      </c>
      <c r="E200" s="3">
        <v>1162734831</v>
      </c>
      <c r="F200" s="3" t="s">
        <v>17</v>
      </c>
      <c r="G200" s="3" t="s">
        <v>18</v>
      </c>
      <c r="H200" s="3" t="s">
        <v>18</v>
      </c>
      <c r="I200" s="3" t="s">
        <v>309</v>
      </c>
      <c r="J200" s="3" t="s">
        <v>278</v>
      </c>
      <c r="K200" s="3" t="s">
        <v>22</v>
      </c>
      <c r="L200" s="4">
        <v>0.40625</v>
      </c>
      <c r="M200" s="3" t="s">
        <v>310</v>
      </c>
      <c r="N200" s="3" t="s">
        <v>24</v>
      </c>
      <c r="O200" s="3" t="s">
        <v>25</v>
      </c>
    </row>
    <row r="201" spans="1:15">
      <c r="A201" s="3" t="s">
        <v>15</v>
      </c>
      <c r="B201" s="3" t="str">
        <f>"FES1162739420"</f>
        <v>FES1162739420</v>
      </c>
      <c r="C201" s="3" t="s">
        <v>16</v>
      </c>
      <c r="D201" s="3">
        <v>1</v>
      </c>
      <c r="E201" s="3">
        <v>2170731099</v>
      </c>
      <c r="F201" s="3" t="s">
        <v>17</v>
      </c>
      <c r="G201" s="3" t="s">
        <v>18</v>
      </c>
      <c r="H201" s="3" t="s">
        <v>18</v>
      </c>
      <c r="I201" s="3" t="s">
        <v>313</v>
      </c>
      <c r="J201" s="3" t="s">
        <v>314</v>
      </c>
      <c r="K201" s="3" t="s">
        <v>22</v>
      </c>
      <c r="L201" s="4">
        <v>0.4368055555555555</v>
      </c>
      <c r="M201" s="3" t="s">
        <v>315</v>
      </c>
      <c r="N201" s="3" t="s">
        <v>24</v>
      </c>
      <c r="O201" s="3" t="s">
        <v>25</v>
      </c>
    </row>
    <row r="202" spans="1:15">
      <c r="A202" s="3" t="s">
        <v>15</v>
      </c>
      <c r="B202" s="3" t="str">
        <f>"FES1162739578"</f>
        <v>FES1162739578</v>
      </c>
      <c r="C202" s="3" t="s">
        <v>16</v>
      </c>
      <c r="D202" s="3">
        <v>2</v>
      </c>
      <c r="E202" s="3">
        <v>2170731291</v>
      </c>
      <c r="F202" s="3" t="s">
        <v>214</v>
      </c>
      <c r="G202" s="3" t="s">
        <v>18</v>
      </c>
      <c r="H202" s="3" t="s">
        <v>46</v>
      </c>
      <c r="I202" s="3" t="s">
        <v>47</v>
      </c>
      <c r="J202" s="3" t="s">
        <v>129</v>
      </c>
      <c r="K202" s="3" t="s">
        <v>77</v>
      </c>
      <c r="L202" s="4">
        <v>0.36041666666666666</v>
      </c>
      <c r="M202" s="3" t="s">
        <v>316</v>
      </c>
      <c r="N202" s="3" t="s">
        <v>24</v>
      </c>
      <c r="O202" s="3" t="s">
        <v>317</v>
      </c>
    </row>
    <row r="203" spans="1:15">
      <c r="A203" s="3" t="s">
        <v>15</v>
      </c>
      <c r="B203" s="3" t="str">
        <f>"FES1162739558"</f>
        <v>FES1162739558</v>
      </c>
      <c r="C203" s="3" t="s">
        <v>16</v>
      </c>
      <c r="D203" s="3">
        <v>1</v>
      </c>
      <c r="E203" s="3">
        <v>2170731269</v>
      </c>
      <c r="F203" s="3" t="s">
        <v>17</v>
      </c>
      <c r="G203" s="3" t="s">
        <v>18</v>
      </c>
      <c r="H203" s="3" t="s">
        <v>100</v>
      </c>
      <c r="I203" s="3" t="s">
        <v>101</v>
      </c>
      <c r="J203" s="3" t="s">
        <v>318</v>
      </c>
      <c r="K203" s="3" t="s">
        <v>22</v>
      </c>
      <c r="L203" s="4">
        <v>0.41666666666666669</v>
      </c>
      <c r="M203" s="3" t="s">
        <v>319</v>
      </c>
      <c r="N203" s="3" t="s">
        <v>24</v>
      </c>
      <c r="O203" s="3" t="s">
        <v>25</v>
      </c>
    </row>
    <row r="204" spans="1:15">
      <c r="A204" s="3" t="s">
        <v>15</v>
      </c>
      <c r="B204" s="3" t="str">
        <f>"FES1162739470"</f>
        <v>FES1162739470</v>
      </c>
      <c r="C204" s="3" t="s">
        <v>16</v>
      </c>
      <c r="D204" s="3">
        <v>1</v>
      </c>
      <c r="E204" s="3">
        <v>2170731150</v>
      </c>
      <c r="F204" s="3" t="s">
        <v>17</v>
      </c>
      <c r="G204" s="3" t="s">
        <v>18</v>
      </c>
      <c r="H204" s="3" t="s">
        <v>18</v>
      </c>
      <c r="I204" s="3" t="s">
        <v>33</v>
      </c>
      <c r="J204" s="3" t="s">
        <v>320</v>
      </c>
      <c r="K204" s="3" t="s">
        <v>22</v>
      </c>
      <c r="L204" s="4">
        <v>0.48333333333333334</v>
      </c>
      <c r="M204" s="3" t="s">
        <v>321</v>
      </c>
      <c r="N204" s="3" t="s">
        <v>24</v>
      </c>
      <c r="O204" s="3" t="s">
        <v>25</v>
      </c>
    </row>
    <row r="205" spans="1:15">
      <c r="A205" s="3" t="s">
        <v>15</v>
      </c>
      <c r="B205" s="3" t="str">
        <f>"FES1162739471"</f>
        <v>FES1162739471</v>
      </c>
      <c r="C205" s="3" t="s">
        <v>16</v>
      </c>
      <c r="D205" s="3">
        <v>1</v>
      </c>
      <c r="E205" s="3">
        <v>2170731151</v>
      </c>
      <c r="F205" s="3" t="s">
        <v>17</v>
      </c>
      <c r="G205" s="3" t="s">
        <v>18</v>
      </c>
      <c r="H205" s="3" t="s">
        <v>18</v>
      </c>
      <c r="I205" s="3" t="s">
        <v>151</v>
      </c>
      <c r="J205" s="3" t="s">
        <v>322</v>
      </c>
      <c r="K205" s="3" t="s">
        <v>22</v>
      </c>
      <c r="L205" s="4">
        <v>0.39374999999999999</v>
      </c>
      <c r="M205" s="3" t="s">
        <v>323</v>
      </c>
      <c r="N205" s="3" t="s">
        <v>24</v>
      </c>
      <c r="O205" s="3" t="s">
        <v>25</v>
      </c>
    </row>
    <row r="206" spans="1:15">
      <c r="A206" s="3" t="s">
        <v>15</v>
      </c>
      <c r="B206" s="3" t="str">
        <f>"FES1162739560"</f>
        <v>FES1162739560</v>
      </c>
      <c r="C206" s="3" t="s">
        <v>16</v>
      </c>
      <c r="D206" s="3">
        <v>1</v>
      </c>
      <c r="E206" s="3">
        <v>2170731271</v>
      </c>
      <c r="F206" s="3" t="s">
        <v>17</v>
      </c>
      <c r="G206" s="3" t="s">
        <v>18</v>
      </c>
      <c r="H206" s="3" t="s">
        <v>18</v>
      </c>
      <c r="I206" s="3" t="s">
        <v>29</v>
      </c>
      <c r="J206" s="3" t="s">
        <v>307</v>
      </c>
      <c r="K206" s="3" t="s">
        <v>22</v>
      </c>
      <c r="L206" s="4">
        <v>0.3354166666666667</v>
      </c>
      <c r="M206" s="3" t="s">
        <v>324</v>
      </c>
      <c r="N206" s="3" t="s">
        <v>24</v>
      </c>
      <c r="O206" s="3" t="s">
        <v>25</v>
      </c>
    </row>
    <row r="207" spans="1:15">
      <c r="A207" s="3" t="s">
        <v>15</v>
      </c>
      <c r="B207" s="3" t="str">
        <f>"FES1162739550"</f>
        <v>FES1162739550</v>
      </c>
      <c r="C207" s="3" t="s">
        <v>16</v>
      </c>
      <c r="D207" s="3">
        <v>1</v>
      </c>
      <c r="E207" s="3">
        <v>2170731257</v>
      </c>
      <c r="F207" s="3" t="s">
        <v>17</v>
      </c>
      <c r="G207" s="3" t="s">
        <v>18</v>
      </c>
      <c r="H207" s="3" t="s">
        <v>18</v>
      </c>
      <c r="I207" s="3" t="s">
        <v>29</v>
      </c>
      <c r="J207" s="3" t="s">
        <v>307</v>
      </c>
      <c r="K207" s="3" t="s">
        <v>22</v>
      </c>
      <c r="L207" s="4">
        <v>0.32916666666666666</v>
      </c>
      <c r="M207" s="3" t="s">
        <v>308</v>
      </c>
      <c r="N207" s="3" t="s">
        <v>24</v>
      </c>
      <c r="O207" s="3" t="s">
        <v>25</v>
      </c>
    </row>
    <row r="208" spans="1:15">
      <c r="A208" s="3" t="s">
        <v>15</v>
      </c>
      <c r="B208" s="3" t="str">
        <f>"FES1162739548"</f>
        <v>FES1162739548</v>
      </c>
      <c r="C208" s="3" t="s">
        <v>16</v>
      </c>
      <c r="D208" s="3">
        <v>1</v>
      </c>
      <c r="E208" s="3">
        <v>2170731254</v>
      </c>
      <c r="F208" s="3" t="s">
        <v>17</v>
      </c>
      <c r="G208" s="3" t="s">
        <v>18</v>
      </c>
      <c r="H208" s="3" t="s">
        <v>18</v>
      </c>
      <c r="I208" s="3" t="s">
        <v>206</v>
      </c>
      <c r="J208" s="3" t="s">
        <v>325</v>
      </c>
      <c r="K208" s="3" t="s">
        <v>22</v>
      </c>
      <c r="L208" s="4">
        <v>0.4375</v>
      </c>
      <c r="M208" s="3" t="s">
        <v>326</v>
      </c>
      <c r="N208" s="3" t="s">
        <v>24</v>
      </c>
      <c r="O208" s="3" t="s">
        <v>25</v>
      </c>
    </row>
    <row r="209" spans="1:15">
      <c r="A209" s="3" t="s">
        <v>15</v>
      </c>
      <c r="B209" s="3" t="str">
        <f>"FES1162739551"</f>
        <v>FES1162739551</v>
      </c>
      <c r="C209" s="3" t="s">
        <v>16</v>
      </c>
      <c r="D209" s="3">
        <v>1</v>
      </c>
      <c r="E209" s="3">
        <v>2170731259</v>
      </c>
      <c r="F209" s="3" t="s">
        <v>17</v>
      </c>
      <c r="G209" s="3" t="s">
        <v>18</v>
      </c>
      <c r="H209" s="3" t="s">
        <v>100</v>
      </c>
      <c r="I209" s="3" t="s">
        <v>101</v>
      </c>
      <c r="J209" s="3" t="s">
        <v>327</v>
      </c>
      <c r="K209" s="3" t="s">
        <v>22</v>
      </c>
      <c r="L209" s="4">
        <v>0.42222222222222222</v>
      </c>
      <c r="M209" s="3" t="s">
        <v>328</v>
      </c>
      <c r="N209" s="3" t="s">
        <v>24</v>
      </c>
      <c r="O209" s="3" t="s">
        <v>25</v>
      </c>
    </row>
    <row r="210" spans="1:15">
      <c r="A210" s="3" t="s">
        <v>15</v>
      </c>
      <c r="B210" s="3" t="str">
        <f>"FES1162739555"</f>
        <v>FES1162739555</v>
      </c>
      <c r="C210" s="3" t="s">
        <v>16</v>
      </c>
      <c r="D210" s="3">
        <v>1</v>
      </c>
      <c r="E210" s="3">
        <v>2170731265</v>
      </c>
      <c r="F210" s="3" t="s">
        <v>17</v>
      </c>
      <c r="G210" s="3" t="s">
        <v>18</v>
      </c>
      <c r="H210" s="3" t="s">
        <v>100</v>
      </c>
      <c r="I210" s="3" t="s">
        <v>101</v>
      </c>
      <c r="J210" s="3" t="s">
        <v>327</v>
      </c>
      <c r="K210" s="3" t="s">
        <v>22</v>
      </c>
      <c r="L210" s="4">
        <v>0.42222222222222222</v>
      </c>
      <c r="M210" s="3" t="s">
        <v>328</v>
      </c>
      <c r="N210" s="3" t="s">
        <v>24</v>
      </c>
      <c r="O210" s="3" t="s">
        <v>25</v>
      </c>
    </row>
    <row r="211" spans="1:15">
      <c r="A211" s="3" t="s">
        <v>15</v>
      </c>
      <c r="B211" s="3" t="str">
        <f>"FES1162739554"</f>
        <v>FES1162739554</v>
      </c>
      <c r="C211" s="3" t="s">
        <v>16</v>
      </c>
      <c r="D211" s="3">
        <v>1</v>
      </c>
      <c r="E211" s="3">
        <v>2170731263</v>
      </c>
      <c r="F211" s="3" t="s">
        <v>17</v>
      </c>
      <c r="G211" s="3" t="s">
        <v>18</v>
      </c>
      <c r="H211" s="3" t="s">
        <v>19</v>
      </c>
      <c r="I211" s="3" t="s">
        <v>20</v>
      </c>
      <c r="J211" s="3" t="s">
        <v>137</v>
      </c>
      <c r="K211" s="3" t="s">
        <v>22</v>
      </c>
      <c r="L211" s="4">
        <v>0.42152777777777778</v>
      </c>
      <c r="M211" s="3" t="s">
        <v>329</v>
      </c>
      <c r="N211" s="3" t="s">
        <v>24</v>
      </c>
      <c r="O211" s="3" t="s">
        <v>25</v>
      </c>
    </row>
    <row r="212" spans="1:15">
      <c r="A212" s="3" t="s">
        <v>15</v>
      </c>
      <c r="B212" s="3" t="str">
        <f>"FES1162739575"</f>
        <v>FES1162739575</v>
      </c>
      <c r="C212" s="3" t="s">
        <v>16</v>
      </c>
      <c r="D212" s="3">
        <v>1</v>
      </c>
      <c r="E212" s="3">
        <v>2170731288</v>
      </c>
      <c r="F212" s="3" t="s">
        <v>17</v>
      </c>
      <c r="G212" s="3" t="s">
        <v>18</v>
      </c>
      <c r="H212" s="3" t="s">
        <v>19</v>
      </c>
      <c r="I212" s="3" t="s">
        <v>20</v>
      </c>
      <c r="J212" s="3" t="s">
        <v>56</v>
      </c>
      <c r="K212" s="3" t="s">
        <v>22</v>
      </c>
      <c r="L212" s="4">
        <v>0.35625000000000001</v>
      </c>
      <c r="M212" s="3" t="s">
        <v>57</v>
      </c>
      <c r="N212" s="3" t="s">
        <v>24</v>
      </c>
      <c r="O212" s="3" t="s">
        <v>25</v>
      </c>
    </row>
    <row r="213" spans="1:15">
      <c r="A213" s="3" t="s">
        <v>15</v>
      </c>
      <c r="B213" s="3" t="str">
        <f>"FES1162739581"</f>
        <v>FES1162739581</v>
      </c>
      <c r="C213" s="3" t="s">
        <v>16</v>
      </c>
      <c r="D213" s="3">
        <v>1</v>
      </c>
      <c r="E213" s="3">
        <v>2170729013</v>
      </c>
      <c r="F213" s="3" t="s">
        <v>17</v>
      </c>
      <c r="G213" s="3" t="s">
        <v>18</v>
      </c>
      <c r="H213" s="3" t="s">
        <v>36</v>
      </c>
      <c r="I213" s="3" t="s">
        <v>330</v>
      </c>
      <c r="J213" s="3" t="s">
        <v>331</v>
      </c>
      <c r="K213" s="3" t="s">
        <v>22</v>
      </c>
      <c r="L213" s="4">
        <v>0.3576388888888889</v>
      </c>
      <c r="M213" s="3" t="s">
        <v>332</v>
      </c>
      <c r="N213" s="3" t="s">
        <v>24</v>
      </c>
      <c r="O213" s="3" t="s">
        <v>25</v>
      </c>
    </row>
    <row r="214" spans="1:15">
      <c r="A214" s="3" t="s">
        <v>15</v>
      </c>
      <c r="B214" s="3" t="str">
        <f>"FES1162739579"</f>
        <v>FES1162739579</v>
      </c>
      <c r="C214" s="3" t="s">
        <v>16</v>
      </c>
      <c r="D214" s="3">
        <v>1</v>
      </c>
      <c r="E214" s="3">
        <v>2170731292</v>
      </c>
      <c r="F214" s="3" t="s">
        <v>17</v>
      </c>
      <c r="G214" s="3" t="s">
        <v>18</v>
      </c>
      <c r="H214" s="3" t="s">
        <v>100</v>
      </c>
      <c r="I214" s="3" t="s">
        <v>101</v>
      </c>
      <c r="J214" s="3" t="s">
        <v>131</v>
      </c>
      <c r="K214" s="3" t="s">
        <v>22</v>
      </c>
      <c r="L214" s="4">
        <v>0.39444444444444443</v>
      </c>
      <c r="M214" s="3" t="s">
        <v>132</v>
      </c>
      <c r="N214" s="3" t="s">
        <v>24</v>
      </c>
      <c r="O214" s="3" t="s">
        <v>25</v>
      </c>
    </row>
    <row r="215" spans="1:15">
      <c r="A215" s="3" t="s">
        <v>15</v>
      </c>
      <c r="B215" s="3" t="str">
        <f>"FES1162739595"</f>
        <v>FES1162739595</v>
      </c>
      <c r="C215" s="3" t="s">
        <v>16</v>
      </c>
      <c r="D215" s="3">
        <v>1</v>
      </c>
      <c r="E215" s="3">
        <v>2170731306</v>
      </c>
      <c r="F215" s="3" t="s">
        <v>17</v>
      </c>
      <c r="G215" s="3" t="s">
        <v>18</v>
      </c>
      <c r="H215" s="3" t="s">
        <v>100</v>
      </c>
      <c r="I215" s="3" t="s">
        <v>101</v>
      </c>
      <c r="J215" s="3" t="s">
        <v>125</v>
      </c>
      <c r="K215" s="3" t="s">
        <v>22</v>
      </c>
      <c r="L215" s="4">
        <v>0.31666666666666665</v>
      </c>
      <c r="M215" s="3" t="s">
        <v>126</v>
      </c>
      <c r="N215" s="3" t="s">
        <v>24</v>
      </c>
      <c r="O215" s="3" t="s">
        <v>25</v>
      </c>
    </row>
    <row r="216" spans="1:15">
      <c r="A216" s="3" t="s">
        <v>15</v>
      </c>
      <c r="B216" s="3" t="str">
        <f>"FES1162739597"</f>
        <v>FES1162739597</v>
      </c>
      <c r="C216" s="3" t="s">
        <v>16</v>
      </c>
      <c r="D216" s="3">
        <v>1</v>
      </c>
      <c r="E216" s="3">
        <v>2170731308</v>
      </c>
      <c r="F216" s="3" t="s">
        <v>17</v>
      </c>
      <c r="G216" s="3" t="s">
        <v>18</v>
      </c>
      <c r="H216" s="3" t="s">
        <v>100</v>
      </c>
      <c r="I216" s="3" t="s">
        <v>117</v>
      </c>
      <c r="J216" s="3" t="s">
        <v>118</v>
      </c>
      <c r="K216" s="3" t="s">
        <v>22</v>
      </c>
      <c r="L216" s="4">
        <v>0.48055555555555557</v>
      </c>
      <c r="M216" s="3" t="s">
        <v>119</v>
      </c>
      <c r="N216" s="3" t="s">
        <v>24</v>
      </c>
      <c r="O216" s="3" t="s">
        <v>25</v>
      </c>
    </row>
    <row r="217" spans="1:15">
      <c r="A217" s="3" t="s">
        <v>15</v>
      </c>
      <c r="B217" s="3" t="str">
        <f>"FES1162739588"</f>
        <v>FES1162739588</v>
      </c>
      <c r="C217" s="3" t="s">
        <v>16</v>
      </c>
      <c r="D217" s="3">
        <v>1</v>
      </c>
      <c r="E217" s="3">
        <v>2170731296</v>
      </c>
      <c r="F217" s="3" t="s">
        <v>17</v>
      </c>
      <c r="G217" s="3" t="s">
        <v>18</v>
      </c>
      <c r="H217" s="3" t="s">
        <v>100</v>
      </c>
      <c r="I217" s="3" t="s">
        <v>155</v>
      </c>
      <c r="J217" s="3" t="s">
        <v>333</v>
      </c>
      <c r="K217" s="3" t="s">
        <v>22</v>
      </c>
      <c r="L217" s="4">
        <v>0.39374999999999999</v>
      </c>
      <c r="M217" s="3" t="s">
        <v>334</v>
      </c>
      <c r="N217" s="3" t="s">
        <v>24</v>
      </c>
      <c r="O217" s="3" t="s">
        <v>25</v>
      </c>
    </row>
    <row r="218" spans="1:15">
      <c r="A218" s="3" t="s">
        <v>15</v>
      </c>
      <c r="B218" s="3" t="str">
        <f>"FES1162739552"</f>
        <v>FES1162739552</v>
      </c>
      <c r="C218" s="3" t="s">
        <v>16</v>
      </c>
      <c r="D218" s="3">
        <v>1</v>
      </c>
      <c r="E218" s="3">
        <v>2170729377</v>
      </c>
      <c r="F218" s="3" t="s">
        <v>17</v>
      </c>
      <c r="G218" s="3" t="s">
        <v>18</v>
      </c>
      <c r="H218" s="3" t="s">
        <v>100</v>
      </c>
      <c r="I218" s="3" t="s">
        <v>117</v>
      </c>
      <c r="J218" s="3" t="s">
        <v>335</v>
      </c>
      <c r="K218" s="3" t="s">
        <v>22</v>
      </c>
      <c r="L218" s="4">
        <v>0.4597222222222222</v>
      </c>
      <c r="M218" s="3" t="s">
        <v>336</v>
      </c>
      <c r="N218" s="3" t="s">
        <v>24</v>
      </c>
      <c r="O218" s="3" t="s">
        <v>25</v>
      </c>
    </row>
    <row r="219" spans="1:15">
      <c r="A219" s="3" t="s">
        <v>15</v>
      </c>
      <c r="B219" s="3" t="str">
        <f>"FES1162739477"</f>
        <v>FES1162739477</v>
      </c>
      <c r="C219" s="3" t="s">
        <v>16</v>
      </c>
      <c r="D219" s="3">
        <v>1</v>
      </c>
      <c r="E219" s="3">
        <v>2170731165</v>
      </c>
      <c r="F219" s="3" t="s">
        <v>17</v>
      </c>
      <c r="G219" s="3" t="s">
        <v>18</v>
      </c>
      <c r="H219" s="3" t="s">
        <v>18</v>
      </c>
      <c r="I219" s="3" t="s">
        <v>313</v>
      </c>
      <c r="J219" s="3" t="s">
        <v>337</v>
      </c>
      <c r="K219" s="3" t="s">
        <v>22</v>
      </c>
      <c r="L219" s="4">
        <v>0.40763888888888888</v>
      </c>
      <c r="M219" s="3" t="s">
        <v>90</v>
      </c>
      <c r="N219" s="3" t="s">
        <v>24</v>
      </c>
      <c r="O219" s="3" t="s">
        <v>25</v>
      </c>
    </row>
    <row r="220" spans="1:15">
      <c r="A220" s="3" t="s">
        <v>15</v>
      </c>
      <c r="B220" s="3" t="str">
        <f>"FES1162739557"</f>
        <v>FES1162739557</v>
      </c>
      <c r="C220" s="3" t="s">
        <v>16</v>
      </c>
      <c r="D220" s="3">
        <v>1</v>
      </c>
      <c r="E220" s="3">
        <v>2170731268</v>
      </c>
      <c r="F220" s="3" t="s">
        <v>17</v>
      </c>
      <c r="G220" s="3" t="s">
        <v>18</v>
      </c>
      <c r="H220" s="3" t="s">
        <v>18</v>
      </c>
      <c r="I220" s="3" t="s">
        <v>338</v>
      </c>
      <c r="J220" s="3" t="s">
        <v>339</v>
      </c>
      <c r="K220" s="3" t="s">
        <v>22</v>
      </c>
      <c r="L220" s="4">
        <v>0.37152777777777773</v>
      </c>
      <c r="M220" s="3" t="s">
        <v>340</v>
      </c>
      <c r="N220" s="3" t="s">
        <v>24</v>
      </c>
      <c r="O220" s="3" t="s">
        <v>25</v>
      </c>
    </row>
    <row r="221" spans="1:15">
      <c r="A221" s="3" t="s">
        <v>15</v>
      </c>
      <c r="B221" s="3" t="str">
        <f>"FES1162739390"</f>
        <v>FES1162739390</v>
      </c>
      <c r="C221" s="3" t="s">
        <v>16</v>
      </c>
      <c r="D221" s="3">
        <v>1</v>
      </c>
      <c r="E221" s="3">
        <v>2170727604</v>
      </c>
      <c r="F221" s="3" t="s">
        <v>17</v>
      </c>
      <c r="G221" s="3" t="s">
        <v>18</v>
      </c>
      <c r="H221" s="3" t="s">
        <v>18</v>
      </c>
      <c r="I221" s="3" t="s">
        <v>341</v>
      </c>
      <c r="J221" s="3" t="s">
        <v>342</v>
      </c>
      <c r="K221" s="3" t="s">
        <v>22</v>
      </c>
      <c r="L221" s="4">
        <v>0.4069444444444445</v>
      </c>
      <c r="M221" s="3" t="s">
        <v>343</v>
      </c>
      <c r="N221" s="3" t="s">
        <v>24</v>
      </c>
      <c r="O221" s="3" t="s">
        <v>25</v>
      </c>
    </row>
    <row r="222" spans="1:15">
      <c r="A222" s="3" t="s">
        <v>15</v>
      </c>
      <c r="B222" s="3" t="str">
        <f>"FES1162739569"</f>
        <v>FES1162739569</v>
      </c>
      <c r="C222" s="3" t="s">
        <v>16</v>
      </c>
      <c r="D222" s="3">
        <v>1</v>
      </c>
      <c r="E222" s="3">
        <v>2170731279</v>
      </c>
      <c r="F222" s="3" t="s">
        <v>17</v>
      </c>
      <c r="G222" s="3" t="s">
        <v>18</v>
      </c>
      <c r="H222" s="3" t="s">
        <v>18</v>
      </c>
      <c r="I222" s="3" t="s">
        <v>33</v>
      </c>
      <c r="J222" s="3" t="s">
        <v>34</v>
      </c>
      <c r="K222" s="3" t="s">
        <v>22</v>
      </c>
      <c r="L222" s="4">
        <v>0.40486111111111112</v>
      </c>
      <c r="M222" s="3" t="s">
        <v>344</v>
      </c>
      <c r="N222" s="3" t="s">
        <v>24</v>
      </c>
      <c r="O222" s="3" t="s">
        <v>25</v>
      </c>
    </row>
    <row r="223" spans="1:15">
      <c r="A223" s="3" t="s">
        <v>15</v>
      </c>
      <c r="B223" s="3" t="str">
        <f>"FES1162739485"</f>
        <v>FES1162739485</v>
      </c>
      <c r="C223" s="3" t="s">
        <v>16</v>
      </c>
      <c r="D223" s="3">
        <v>1</v>
      </c>
      <c r="E223" s="3">
        <v>2170731178</v>
      </c>
      <c r="F223" s="3" t="s">
        <v>17</v>
      </c>
      <c r="G223" s="3" t="s">
        <v>18</v>
      </c>
      <c r="H223" s="3" t="s">
        <v>18</v>
      </c>
      <c r="I223" s="3" t="s">
        <v>33</v>
      </c>
      <c r="J223" s="3" t="s">
        <v>93</v>
      </c>
      <c r="K223" s="3" t="s">
        <v>22</v>
      </c>
      <c r="L223" s="4">
        <v>0.37638888888888888</v>
      </c>
      <c r="M223" s="3" t="s">
        <v>93</v>
      </c>
      <c r="N223" s="3" t="s">
        <v>24</v>
      </c>
      <c r="O223" s="3" t="s">
        <v>25</v>
      </c>
    </row>
    <row r="224" spans="1:15">
      <c r="A224" s="3" t="s">
        <v>15</v>
      </c>
      <c r="B224" s="3" t="str">
        <f>"FES1162739498"</f>
        <v>FES1162739498</v>
      </c>
      <c r="C224" s="3" t="s">
        <v>16</v>
      </c>
      <c r="D224" s="3">
        <v>1</v>
      </c>
      <c r="E224" s="3">
        <v>2170731190</v>
      </c>
      <c r="F224" s="3" t="s">
        <v>17</v>
      </c>
      <c r="G224" s="3" t="s">
        <v>18</v>
      </c>
      <c r="H224" s="3" t="s">
        <v>18</v>
      </c>
      <c r="I224" s="3" t="s">
        <v>33</v>
      </c>
      <c r="J224" s="3" t="s">
        <v>34</v>
      </c>
      <c r="K224" s="3" t="s">
        <v>22</v>
      </c>
      <c r="L224" s="4">
        <v>0.4069444444444445</v>
      </c>
      <c r="M224" s="3" t="s">
        <v>35</v>
      </c>
      <c r="N224" s="3" t="s">
        <v>24</v>
      </c>
      <c r="O224" s="3" t="s">
        <v>25</v>
      </c>
    </row>
    <row r="225" spans="1:15">
      <c r="A225" s="3" t="s">
        <v>15</v>
      </c>
      <c r="B225" s="3" t="str">
        <f>"FES1162739479"</f>
        <v>FES1162739479</v>
      </c>
      <c r="C225" s="3" t="s">
        <v>16</v>
      </c>
      <c r="D225" s="3">
        <v>1</v>
      </c>
      <c r="E225" s="3">
        <v>2170731172</v>
      </c>
      <c r="F225" s="3" t="s">
        <v>17</v>
      </c>
      <c r="G225" s="3" t="s">
        <v>18</v>
      </c>
      <c r="H225" s="3" t="s">
        <v>18</v>
      </c>
      <c r="I225" s="3" t="s">
        <v>341</v>
      </c>
      <c r="J225" s="3" t="s">
        <v>345</v>
      </c>
      <c r="K225" s="3" t="s">
        <v>22</v>
      </c>
      <c r="L225" s="4">
        <v>0.44097222222222227</v>
      </c>
      <c r="M225" s="3" t="s">
        <v>346</v>
      </c>
      <c r="N225" s="3" t="s">
        <v>24</v>
      </c>
      <c r="O225" s="3" t="s">
        <v>25</v>
      </c>
    </row>
    <row r="226" spans="1:15">
      <c r="A226" s="3" t="s">
        <v>15</v>
      </c>
      <c r="B226" s="3" t="str">
        <f>"FES1162739543"</f>
        <v>FES1162739543</v>
      </c>
      <c r="C226" s="3" t="s">
        <v>16</v>
      </c>
      <c r="D226" s="3">
        <v>1</v>
      </c>
      <c r="E226" s="3">
        <v>2170731247</v>
      </c>
      <c r="F226" s="3" t="s">
        <v>17</v>
      </c>
      <c r="G226" s="3" t="s">
        <v>18</v>
      </c>
      <c r="H226" s="3" t="s">
        <v>18</v>
      </c>
      <c r="I226" s="3" t="s">
        <v>180</v>
      </c>
      <c r="J226" s="3" t="s">
        <v>181</v>
      </c>
      <c r="K226" s="3" t="s">
        <v>22</v>
      </c>
      <c r="L226" s="4">
        <v>0.33333333333333331</v>
      </c>
      <c r="M226" s="3" t="s">
        <v>221</v>
      </c>
      <c r="N226" s="3" t="s">
        <v>24</v>
      </c>
      <c r="O226" s="3" t="s">
        <v>25</v>
      </c>
    </row>
    <row r="227" spans="1:15">
      <c r="A227" s="3" t="s">
        <v>15</v>
      </c>
      <c r="B227" s="3" t="str">
        <f>"FES1162739539"</f>
        <v>FES1162739539</v>
      </c>
      <c r="C227" s="3" t="s">
        <v>16</v>
      </c>
      <c r="D227" s="3">
        <v>1</v>
      </c>
      <c r="E227" s="3">
        <v>2170731243</v>
      </c>
      <c r="F227" s="3" t="s">
        <v>17</v>
      </c>
      <c r="G227" s="3" t="s">
        <v>18</v>
      </c>
      <c r="H227" s="3" t="s">
        <v>18</v>
      </c>
      <c r="I227" s="3" t="s">
        <v>168</v>
      </c>
      <c r="J227" s="3" t="s">
        <v>347</v>
      </c>
      <c r="K227" s="3" t="s">
        <v>22</v>
      </c>
      <c r="L227" s="4">
        <v>0.36319444444444443</v>
      </c>
      <c r="M227" s="3" t="s">
        <v>348</v>
      </c>
      <c r="N227" s="3" t="s">
        <v>24</v>
      </c>
      <c r="O227" s="3" t="s">
        <v>25</v>
      </c>
    </row>
    <row r="228" spans="1:15">
      <c r="A228" s="3" t="s">
        <v>15</v>
      </c>
      <c r="B228" s="3" t="str">
        <f>"FES1162739549"</f>
        <v>FES1162739549</v>
      </c>
      <c r="C228" s="3" t="s">
        <v>16</v>
      </c>
      <c r="D228" s="3">
        <v>1</v>
      </c>
      <c r="E228" s="3">
        <v>2170731256</v>
      </c>
      <c r="F228" s="3" t="s">
        <v>17</v>
      </c>
      <c r="G228" s="3" t="s">
        <v>18</v>
      </c>
      <c r="H228" s="3" t="s">
        <v>18</v>
      </c>
      <c r="I228" s="3" t="s">
        <v>168</v>
      </c>
      <c r="J228" s="3" t="s">
        <v>169</v>
      </c>
      <c r="K228" s="3" t="s">
        <v>22</v>
      </c>
      <c r="L228" s="4">
        <v>0.41041666666666665</v>
      </c>
      <c r="M228" s="3" t="s">
        <v>170</v>
      </c>
      <c r="N228" s="3" t="s">
        <v>24</v>
      </c>
      <c r="O228" s="3" t="s">
        <v>25</v>
      </c>
    </row>
    <row r="229" spans="1:15">
      <c r="A229" s="3" t="s">
        <v>15</v>
      </c>
      <c r="B229" s="3" t="str">
        <f>"FES1162739586"</f>
        <v>FES1162739586</v>
      </c>
      <c r="C229" s="3" t="s">
        <v>16</v>
      </c>
      <c r="D229" s="3">
        <v>1</v>
      </c>
      <c r="E229" s="3">
        <v>2170731294</v>
      </c>
      <c r="F229" s="3" t="s">
        <v>17</v>
      </c>
      <c r="G229" s="3" t="s">
        <v>18</v>
      </c>
      <c r="H229" s="3" t="s">
        <v>36</v>
      </c>
      <c r="I229" s="3" t="s">
        <v>174</v>
      </c>
      <c r="J229" s="3" t="s">
        <v>349</v>
      </c>
      <c r="K229" s="3" t="s">
        <v>22</v>
      </c>
      <c r="L229" s="4">
        <v>0.33680555555555558</v>
      </c>
      <c r="M229" s="3" t="s">
        <v>350</v>
      </c>
      <c r="N229" s="3" t="s">
        <v>24</v>
      </c>
      <c r="O229" s="3" t="s">
        <v>25</v>
      </c>
    </row>
    <row r="230" spans="1:15">
      <c r="A230" s="3" t="s">
        <v>15</v>
      </c>
      <c r="B230" s="3" t="str">
        <f>"FES1162739589"</f>
        <v>FES1162739589</v>
      </c>
      <c r="C230" s="3" t="s">
        <v>16</v>
      </c>
      <c r="D230" s="3">
        <v>1</v>
      </c>
      <c r="E230" s="3">
        <v>2170731298</v>
      </c>
      <c r="F230" s="3" t="s">
        <v>17</v>
      </c>
      <c r="G230" s="3" t="s">
        <v>18</v>
      </c>
      <c r="H230" s="3" t="s">
        <v>46</v>
      </c>
      <c r="I230" s="3" t="s">
        <v>47</v>
      </c>
      <c r="J230" s="3" t="s">
        <v>351</v>
      </c>
      <c r="K230" s="3" t="s">
        <v>22</v>
      </c>
      <c r="L230" s="4">
        <v>0.37291666666666662</v>
      </c>
      <c r="M230" s="3" t="s">
        <v>352</v>
      </c>
      <c r="N230" s="3" t="s">
        <v>24</v>
      </c>
      <c r="O230" s="3" t="s">
        <v>25</v>
      </c>
    </row>
    <row r="231" spans="1:15">
      <c r="A231" s="3" t="s">
        <v>15</v>
      </c>
      <c r="B231" s="3" t="str">
        <f>"FES1162739587"</f>
        <v>FES1162739587</v>
      </c>
      <c r="C231" s="3" t="s">
        <v>16</v>
      </c>
      <c r="D231" s="3">
        <v>1</v>
      </c>
      <c r="E231" s="3">
        <v>2170731295</v>
      </c>
      <c r="F231" s="3" t="s">
        <v>17</v>
      </c>
      <c r="G231" s="3" t="s">
        <v>18</v>
      </c>
      <c r="H231" s="3" t="s">
        <v>36</v>
      </c>
      <c r="I231" s="3" t="s">
        <v>37</v>
      </c>
      <c r="J231" s="3" t="s">
        <v>260</v>
      </c>
      <c r="K231" s="3" t="s">
        <v>22</v>
      </c>
      <c r="L231" s="4">
        <v>0.38125000000000003</v>
      </c>
      <c r="M231" s="3" t="s">
        <v>261</v>
      </c>
      <c r="N231" s="3" t="s">
        <v>24</v>
      </c>
      <c r="O231" s="3" t="s">
        <v>25</v>
      </c>
    </row>
    <row r="232" spans="1:15">
      <c r="A232" s="3" t="s">
        <v>15</v>
      </c>
      <c r="B232" s="3" t="str">
        <f>"FES1162739514"</f>
        <v>FES1162739514</v>
      </c>
      <c r="C232" s="3" t="s">
        <v>16</v>
      </c>
      <c r="D232" s="3">
        <v>1</v>
      </c>
      <c r="E232" s="3">
        <v>2170731212</v>
      </c>
      <c r="F232" s="3" t="s">
        <v>17</v>
      </c>
      <c r="G232" s="3" t="s">
        <v>18</v>
      </c>
      <c r="H232" s="3" t="s">
        <v>18</v>
      </c>
      <c r="I232" s="3" t="s">
        <v>171</v>
      </c>
      <c r="J232" s="3" t="s">
        <v>353</v>
      </c>
      <c r="K232" s="3" t="s">
        <v>22</v>
      </c>
      <c r="L232" s="4">
        <v>0.28472222222222221</v>
      </c>
      <c r="M232" s="3" t="s">
        <v>354</v>
      </c>
      <c r="N232" s="3" t="s">
        <v>24</v>
      </c>
      <c r="O232" s="3" t="s">
        <v>25</v>
      </c>
    </row>
    <row r="233" spans="1:15">
      <c r="A233" s="3" t="s">
        <v>15</v>
      </c>
      <c r="B233" s="3" t="str">
        <f>"FES1162739573"</f>
        <v>FES1162739573</v>
      </c>
      <c r="C233" s="3" t="s">
        <v>16</v>
      </c>
      <c r="D233" s="3">
        <v>1</v>
      </c>
      <c r="E233" s="3">
        <v>2170731287</v>
      </c>
      <c r="F233" s="3" t="s">
        <v>17</v>
      </c>
      <c r="G233" s="3" t="s">
        <v>18</v>
      </c>
      <c r="H233" s="3" t="s">
        <v>18</v>
      </c>
      <c r="I233" s="3" t="s">
        <v>171</v>
      </c>
      <c r="J233" s="3" t="s">
        <v>204</v>
      </c>
      <c r="K233" s="3" t="s">
        <v>22</v>
      </c>
      <c r="L233" s="4">
        <v>0.33333333333333331</v>
      </c>
      <c r="M233" s="3" t="s">
        <v>205</v>
      </c>
      <c r="N233" s="3" t="s">
        <v>24</v>
      </c>
      <c r="O233" s="3" t="s">
        <v>25</v>
      </c>
    </row>
    <row r="234" spans="1:15">
      <c r="A234" s="3" t="s">
        <v>15</v>
      </c>
      <c r="B234" s="3" t="str">
        <f>"009935712344"</f>
        <v>009935712344</v>
      </c>
      <c r="C234" s="3" t="s">
        <v>16</v>
      </c>
      <c r="D234" s="3">
        <v>1</v>
      </c>
      <c r="E234" s="3">
        <v>1162738412</v>
      </c>
      <c r="F234" s="3" t="s">
        <v>17</v>
      </c>
      <c r="G234" s="3" t="s">
        <v>18</v>
      </c>
      <c r="H234" s="3" t="s">
        <v>18</v>
      </c>
      <c r="I234" s="3" t="s">
        <v>309</v>
      </c>
      <c r="J234" s="3" t="s">
        <v>278</v>
      </c>
      <c r="K234" s="3" t="s">
        <v>22</v>
      </c>
      <c r="L234" s="4">
        <v>0.40625</v>
      </c>
      <c r="M234" s="3" t="s">
        <v>310</v>
      </c>
      <c r="N234" s="3" t="s">
        <v>24</v>
      </c>
      <c r="O234" s="3" t="s">
        <v>355</v>
      </c>
    </row>
    <row r="235" spans="1:15">
      <c r="A235" s="3" t="s">
        <v>15</v>
      </c>
      <c r="B235" s="3" t="str">
        <f>"FES116525739534"</f>
        <v>FES116525739534</v>
      </c>
      <c r="C235" s="3" t="s">
        <v>22</v>
      </c>
      <c r="D235" s="3">
        <v>0</v>
      </c>
      <c r="E235" s="3">
        <v>2170731236</v>
      </c>
      <c r="F235" s="3" t="s">
        <v>17</v>
      </c>
      <c r="G235" s="3" t="s">
        <v>18</v>
      </c>
      <c r="H235" s="3" t="s">
        <v>18</v>
      </c>
      <c r="I235" s="3" t="s">
        <v>29</v>
      </c>
      <c r="J235" s="3" t="s">
        <v>356</v>
      </c>
      <c r="K235" s="3" t="s">
        <v>22</v>
      </c>
      <c r="L235" s="4">
        <v>0.4145833333333333</v>
      </c>
      <c r="M235" s="3" t="s">
        <v>357</v>
      </c>
      <c r="N235" s="3" t="s">
        <v>24</v>
      </c>
      <c r="O235" s="3" t="s">
        <v>25</v>
      </c>
    </row>
    <row r="236" spans="1:15">
      <c r="A236" s="3" t="s">
        <v>15</v>
      </c>
      <c r="B236" s="3" t="str">
        <f>"RFES1162739470"</f>
        <v>RFES1162739470</v>
      </c>
      <c r="C236" s="3" t="s">
        <v>22</v>
      </c>
      <c r="D236" s="3">
        <v>0</v>
      </c>
      <c r="E236" s="3">
        <v>2170731150</v>
      </c>
      <c r="F236" s="3" t="s">
        <v>17</v>
      </c>
      <c r="G236" s="3" t="s">
        <v>18</v>
      </c>
      <c r="H236" s="3" t="s">
        <v>18</v>
      </c>
      <c r="I236" s="3" t="s">
        <v>29</v>
      </c>
      <c r="J236" s="3" t="s">
        <v>30</v>
      </c>
      <c r="K236" s="3" t="s">
        <v>77</v>
      </c>
      <c r="L236" s="4">
        <v>0.36319444444444443</v>
      </c>
      <c r="M236" s="3" t="s">
        <v>31</v>
      </c>
      <c r="N236" s="3" t="s">
        <v>24</v>
      </c>
      <c r="O236" s="3" t="s">
        <v>25</v>
      </c>
    </row>
    <row r="237" spans="1:15">
      <c r="A237" s="3" t="s">
        <v>15</v>
      </c>
      <c r="B237" s="3" t="str">
        <f>"RFES1162739054"</f>
        <v>RFES1162739054</v>
      </c>
      <c r="C237" s="3" t="s">
        <v>22</v>
      </c>
      <c r="D237" s="3">
        <v>1</v>
      </c>
      <c r="E237" s="3">
        <v>2170730298</v>
      </c>
      <c r="F237" s="3" t="s">
        <v>17</v>
      </c>
      <c r="G237" s="3" t="s">
        <v>18</v>
      </c>
      <c r="H237" s="3" t="s">
        <v>18</v>
      </c>
      <c r="I237" s="3" t="s">
        <v>29</v>
      </c>
      <c r="J237" s="3" t="s">
        <v>30</v>
      </c>
      <c r="K237" s="3" t="s">
        <v>77</v>
      </c>
      <c r="L237" s="4">
        <v>0.36319444444444443</v>
      </c>
      <c r="M237" s="3" t="s">
        <v>31</v>
      </c>
      <c r="N237" s="3" t="s">
        <v>24</v>
      </c>
      <c r="O237" s="3" t="s">
        <v>25</v>
      </c>
    </row>
    <row r="238" spans="1:15">
      <c r="A238" s="3" t="s">
        <v>15</v>
      </c>
      <c r="B238" s="3" t="str">
        <f>"FES1162739652"</f>
        <v>FES1162739652</v>
      </c>
      <c r="C238" s="3" t="s">
        <v>22</v>
      </c>
      <c r="D238" s="3">
        <v>1</v>
      </c>
      <c r="E238" s="3">
        <v>2170730652</v>
      </c>
      <c r="F238" s="3" t="s">
        <v>17</v>
      </c>
      <c r="G238" s="3" t="s">
        <v>18</v>
      </c>
      <c r="H238" s="3" t="s">
        <v>19</v>
      </c>
      <c r="I238" s="3" t="s">
        <v>20</v>
      </c>
      <c r="J238" s="3" t="s">
        <v>358</v>
      </c>
      <c r="K238" s="3" t="s">
        <v>77</v>
      </c>
      <c r="L238" s="4">
        <v>0.4458333333333333</v>
      </c>
      <c r="M238" s="3" t="s">
        <v>359</v>
      </c>
      <c r="N238" s="3" t="s">
        <v>24</v>
      </c>
      <c r="O238" s="3" t="s">
        <v>25</v>
      </c>
    </row>
    <row r="239" spans="1:15">
      <c r="A239" s="3" t="s">
        <v>15</v>
      </c>
      <c r="B239" s="3" t="str">
        <f>"FES1162739714"</f>
        <v>FES1162739714</v>
      </c>
      <c r="C239" s="3" t="s">
        <v>22</v>
      </c>
      <c r="D239" s="3">
        <v>1</v>
      </c>
      <c r="E239" s="3">
        <v>2170731354</v>
      </c>
      <c r="F239" s="3" t="s">
        <v>17</v>
      </c>
      <c r="G239" s="3" t="s">
        <v>18</v>
      </c>
      <c r="H239" s="3" t="s">
        <v>70</v>
      </c>
      <c r="I239" s="3" t="s">
        <v>71</v>
      </c>
      <c r="J239" s="3" t="s">
        <v>248</v>
      </c>
      <c r="K239" s="3" t="s">
        <v>77</v>
      </c>
      <c r="L239" s="4">
        <v>0.51666666666666672</v>
      </c>
      <c r="M239" s="3" t="s">
        <v>249</v>
      </c>
      <c r="N239" s="3" t="s">
        <v>24</v>
      </c>
      <c r="O239" s="3" t="s">
        <v>25</v>
      </c>
    </row>
    <row r="240" spans="1:15">
      <c r="A240" s="3" t="s">
        <v>15</v>
      </c>
      <c r="B240" s="3" t="str">
        <f>"RFES1162738677"</f>
        <v>RFES1162738677</v>
      </c>
      <c r="C240" s="3" t="s">
        <v>22</v>
      </c>
      <c r="D240" s="3">
        <v>1</v>
      </c>
      <c r="E240" s="3">
        <v>2170730696</v>
      </c>
      <c r="F240" s="3" t="s">
        <v>17</v>
      </c>
      <c r="G240" s="3" t="s">
        <v>66</v>
      </c>
      <c r="H240" s="3" t="s">
        <v>18</v>
      </c>
      <c r="I240" s="3" t="s">
        <v>29</v>
      </c>
      <c r="J240" s="3" t="s">
        <v>30</v>
      </c>
      <c r="K240" s="3" t="s">
        <v>77</v>
      </c>
      <c r="L240" s="4">
        <v>0.36319444444444443</v>
      </c>
      <c r="M240" s="3" t="s">
        <v>31</v>
      </c>
      <c r="N240" s="3" t="s">
        <v>24</v>
      </c>
      <c r="O240" s="3" t="s">
        <v>25</v>
      </c>
    </row>
    <row r="241" spans="1:15">
      <c r="A241" s="3" t="s">
        <v>15</v>
      </c>
      <c r="B241" s="3" t="str">
        <f>"FES1162739448"</f>
        <v>FES1162739448</v>
      </c>
      <c r="C241" s="3" t="s">
        <v>22</v>
      </c>
      <c r="D241" s="3">
        <v>1</v>
      </c>
      <c r="E241" s="3">
        <v>2170730610</v>
      </c>
      <c r="F241" s="3" t="s">
        <v>17</v>
      </c>
      <c r="G241" s="3" t="s">
        <v>18</v>
      </c>
      <c r="H241" s="3" t="s">
        <v>66</v>
      </c>
      <c r="I241" s="3" t="s">
        <v>67</v>
      </c>
      <c r="J241" s="3" t="s">
        <v>360</v>
      </c>
      <c r="K241" s="3" t="s">
        <v>77</v>
      </c>
      <c r="L241" s="4">
        <v>0.38541666666666669</v>
      </c>
      <c r="M241" s="3" t="s">
        <v>361</v>
      </c>
      <c r="N241" s="3" t="s">
        <v>24</v>
      </c>
      <c r="O241" s="3" t="s">
        <v>25</v>
      </c>
    </row>
    <row r="242" spans="1:15">
      <c r="A242" s="5" t="s">
        <v>15</v>
      </c>
      <c r="B242" s="5" t="str">
        <f>"FES1162739715"</f>
        <v>FES1162739715</v>
      </c>
      <c r="C242" s="5" t="s">
        <v>22</v>
      </c>
      <c r="D242" s="5">
        <v>0</v>
      </c>
      <c r="E242" s="5">
        <v>2170731356</v>
      </c>
      <c r="F242" s="5" t="s">
        <v>17</v>
      </c>
      <c r="G242" s="5" t="s">
        <v>18</v>
      </c>
      <c r="H242" s="5" t="s">
        <v>19</v>
      </c>
      <c r="I242" s="5" t="s">
        <v>51</v>
      </c>
      <c r="J242" s="5" t="s">
        <v>362</v>
      </c>
      <c r="K242" s="5" t="s">
        <v>363</v>
      </c>
      <c r="L242" s="6">
        <v>0.58958333333333335</v>
      </c>
      <c r="M242" s="5" t="s">
        <v>364</v>
      </c>
      <c r="N242" s="5" t="s">
        <v>24</v>
      </c>
      <c r="O242" s="5" t="s">
        <v>365</v>
      </c>
    </row>
    <row r="243" spans="1:15">
      <c r="A243" s="3" t="s">
        <v>15</v>
      </c>
      <c r="B243" s="3" t="str">
        <f>"FES1162739591"</f>
        <v>FES1162739591</v>
      </c>
      <c r="C243" s="3" t="s">
        <v>22</v>
      </c>
      <c r="D243" s="3">
        <v>0</v>
      </c>
      <c r="E243" s="3">
        <v>2170731301</v>
      </c>
      <c r="F243" s="3" t="s">
        <v>17</v>
      </c>
      <c r="G243" s="3" t="s">
        <v>18</v>
      </c>
      <c r="H243" s="3" t="s">
        <v>18</v>
      </c>
      <c r="I243" s="3" t="s">
        <v>33</v>
      </c>
      <c r="J243" s="3" t="s">
        <v>34</v>
      </c>
      <c r="K243" s="3" t="s">
        <v>77</v>
      </c>
      <c r="L243" s="4">
        <v>0.39305555555555555</v>
      </c>
      <c r="M243" s="3" t="s">
        <v>35</v>
      </c>
      <c r="N243" s="3" t="s">
        <v>24</v>
      </c>
      <c r="O243" s="3" t="s">
        <v>25</v>
      </c>
    </row>
    <row r="244" spans="1:15">
      <c r="A244" s="3" t="s">
        <v>15</v>
      </c>
      <c r="B244" s="3" t="str">
        <f>"FES1162739699"</f>
        <v>FES1162739699</v>
      </c>
      <c r="C244" s="3" t="s">
        <v>22</v>
      </c>
      <c r="D244" s="3">
        <v>1</v>
      </c>
      <c r="E244" s="3">
        <v>2170731327</v>
      </c>
      <c r="F244" s="3" t="s">
        <v>214</v>
      </c>
      <c r="G244" s="3" t="s">
        <v>18</v>
      </c>
      <c r="H244" s="3" t="s">
        <v>366</v>
      </c>
      <c r="I244" s="3" t="s">
        <v>67</v>
      </c>
      <c r="J244" s="3" t="s">
        <v>367</v>
      </c>
      <c r="K244" s="3" t="s">
        <v>77</v>
      </c>
      <c r="L244" s="4">
        <v>0.47916666666666669</v>
      </c>
      <c r="M244" s="3" t="s">
        <v>268</v>
      </c>
      <c r="N244" s="3" t="s">
        <v>24</v>
      </c>
      <c r="O244" s="3" t="s">
        <v>317</v>
      </c>
    </row>
    <row r="245" spans="1:15">
      <c r="A245" s="3" t="s">
        <v>15</v>
      </c>
      <c r="B245" s="3" t="str">
        <f>"FES1162739226"</f>
        <v>FES1162739226</v>
      </c>
      <c r="C245" s="3" t="s">
        <v>22</v>
      </c>
      <c r="D245" s="3">
        <v>1</v>
      </c>
      <c r="E245" s="3">
        <v>2170730942</v>
      </c>
      <c r="F245" s="3" t="s">
        <v>17</v>
      </c>
      <c r="G245" s="3" t="s">
        <v>18</v>
      </c>
      <c r="H245" s="3" t="s">
        <v>66</v>
      </c>
      <c r="I245" s="3" t="s">
        <v>67</v>
      </c>
      <c r="J245" s="3" t="s">
        <v>368</v>
      </c>
      <c r="K245" s="3" t="s">
        <v>77</v>
      </c>
      <c r="L245" s="4">
        <v>0.37847222222222227</v>
      </c>
      <c r="M245" s="3" t="s">
        <v>232</v>
      </c>
      <c r="N245" s="3" t="s">
        <v>24</v>
      </c>
      <c r="O245" s="3" t="s">
        <v>25</v>
      </c>
    </row>
    <row r="246" spans="1:15">
      <c r="A246" s="3" t="s">
        <v>15</v>
      </c>
      <c r="B246" s="3" t="str">
        <f>"FES1162739702"</f>
        <v>FES1162739702</v>
      </c>
      <c r="C246" s="3" t="s">
        <v>22</v>
      </c>
      <c r="D246" s="3">
        <v>1</v>
      </c>
      <c r="E246" s="3">
        <v>2170731338</v>
      </c>
      <c r="F246" s="3" t="s">
        <v>17</v>
      </c>
      <c r="G246" s="3" t="s">
        <v>18</v>
      </c>
      <c r="H246" s="3" t="s">
        <v>18</v>
      </c>
      <c r="I246" s="3" t="s">
        <v>171</v>
      </c>
      <c r="J246" s="3" t="s">
        <v>369</v>
      </c>
      <c r="K246" s="3" t="s">
        <v>77</v>
      </c>
      <c r="L246" s="4">
        <v>0.34930555555555554</v>
      </c>
      <c r="M246" s="3" t="s">
        <v>370</v>
      </c>
      <c r="N246" s="3" t="s">
        <v>24</v>
      </c>
      <c r="O246" s="3" t="s">
        <v>25</v>
      </c>
    </row>
    <row r="247" spans="1:15">
      <c r="A247" s="5" t="s">
        <v>15</v>
      </c>
      <c r="B247" s="5" t="str">
        <f>"FES1162739648"</f>
        <v>FES1162739648</v>
      </c>
      <c r="C247" s="5" t="s">
        <v>22</v>
      </c>
      <c r="D247" s="5">
        <v>2</v>
      </c>
      <c r="E247" s="5">
        <v>2170730446</v>
      </c>
      <c r="F247" s="5" t="s">
        <v>17</v>
      </c>
      <c r="G247" s="5" t="s">
        <v>18</v>
      </c>
      <c r="H247" s="5" t="s">
        <v>100</v>
      </c>
      <c r="I247" s="5" t="s">
        <v>101</v>
      </c>
      <c r="J247" s="5" t="s">
        <v>137</v>
      </c>
      <c r="K247" s="5" t="s">
        <v>77</v>
      </c>
      <c r="L247" s="6">
        <v>0.43124999999999997</v>
      </c>
      <c r="M247" s="5" t="s">
        <v>371</v>
      </c>
      <c r="N247" s="5" t="s">
        <v>24</v>
      </c>
      <c r="O247" s="5" t="s">
        <v>25</v>
      </c>
    </row>
    <row r="248" spans="1:15">
      <c r="A248" s="5" t="s">
        <v>15</v>
      </c>
      <c r="B248" s="5" t="str">
        <f>"FES1162739674"</f>
        <v>FES1162739674</v>
      </c>
      <c r="C248" s="5" t="s">
        <v>22</v>
      </c>
      <c r="D248" s="5">
        <v>0</v>
      </c>
      <c r="E248" s="5">
        <v>2170731016</v>
      </c>
      <c r="F248" s="5" t="s">
        <v>17</v>
      </c>
      <c r="G248" s="5" t="s">
        <v>18</v>
      </c>
      <c r="H248" s="5" t="s">
        <v>36</v>
      </c>
      <c r="I248" s="5" t="s">
        <v>37</v>
      </c>
      <c r="J248" s="5" t="s">
        <v>187</v>
      </c>
      <c r="K248" s="5" t="s">
        <v>77</v>
      </c>
      <c r="L248" s="6">
        <v>0.33680555555555558</v>
      </c>
      <c r="M248" s="5" t="s">
        <v>188</v>
      </c>
      <c r="N248" s="5" t="s">
        <v>24</v>
      </c>
      <c r="O248" s="5" t="s">
        <v>25</v>
      </c>
    </row>
    <row r="249" spans="1:15">
      <c r="A249" s="5" t="s">
        <v>15</v>
      </c>
      <c r="B249" s="5" t="str">
        <f>"FES1162739675"</f>
        <v>FES1162739675</v>
      </c>
      <c r="C249" s="5" t="s">
        <v>22</v>
      </c>
      <c r="D249" s="5">
        <v>0</v>
      </c>
      <c r="E249" s="5">
        <v>2170731017</v>
      </c>
      <c r="F249" s="5" t="s">
        <v>17</v>
      </c>
      <c r="G249" s="5" t="s">
        <v>18</v>
      </c>
      <c r="H249" s="5" t="s">
        <v>36</v>
      </c>
      <c r="I249" s="5" t="s">
        <v>37</v>
      </c>
      <c r="J249" s="5" t="s">
        <v>187</v>
      </c>
      <c r="K249" s="5" t="s">
        <v>77</v>
      </c>
      <c r="L249" s="6">
        <v>0.33333333333333331</v>
      </c>
      <c r="M249" s="5" t="s">
        <v>188</v>
      </c>
      <c r="N249" s="5" t="s">
        <v>24</v>
      </c>
      <c r="O249" s="5" t="s">
        <v>25</v>
      </c>
    </row>
    <row r="250" spans="1:15">
      <c r="A250" s="5" t="s">
        <v>15</v>
      </c>
      <c r="B250" s="5" t="str">
        <f>"FES1162739659"</f>
        <v>FES1162739659</v>
      </c>
      <c r="C250" s="5" t="s">
        <v>22</v>
      </c>
      <c r="D250" s="5">
        <v>1</v>
      </c>
      <c r="E250" s="5">
        <v>2170730739</v>
      </c>
      <c r="F250" s="5" t="s">
        <v>17</v>
      </c>
      <c r="G250" s="5" t="s">
        <v>18</v>
      </c>
      <c r="H250" s="5" t="s">
        <v>100</v>
      </c>
      <c r="I250" s="5" t="s">
        <v>262</v>
      </c>
      <c r="J250" s="5" t="s">
        <v>263</v>
      </c>
      <c r="K250" s="5" t="s">
        <v>77</v>
      </c>
      <c r="L250" s="6">
        <v>0.33333333333333331</v>
      </c>
      <c r="M250" s="5" t="s">
        <v>372</v>
      </c>
      <c r="N250" s="5" t="s">
        <v>24</v>
      </c>
      <c r="O250" s="5" t="s">
        <v>373</v>
      </c>
    </row>
    <row r="251" spans="1:15">
      <c r="A251" s="5" t="s">
        <v>15</v>
      </c>
      <c r="B251" s="5" t="str">
        <f>"FES1162739676"</f>
        <v>FES1162739676</v>
      </c>
      <c r="C251" s="5" t="s">
        <v>22</v>
      </c>
      <c r="D251" s="5">
        <v>1</v>
      </c>
      <c r="E251" s="5">
        <v>2170731026</v>
      </c>
      <c r="F251" s="5" t="s">
        <v>17</v>
      </c>
      <c r="G251" s="5" t="s">
        <v>18</v>
      </c>
      <c r="H251" s="5" t="s">
        <v>100</v>
      </c>
      <c r="I251" s="5" t="s">
        <v>262</v>
      </c>
      <c r="J251" s="5" t="s">
        <v>263</v>
      </c>
      <c r="K251" s="5" t="s">
        <v>77</v>
      </c>
      <c r="L251" s="6">
        <v>0.33333333333333331</v>
      </c>
      <c r="M251" s="5" t="s">
        <v>372</v>
      </c>
      <c r="N251" s="5" t="s">
        <v>24</v>
      </c>
      <c r="O251" s="5" t="s">
        <v>373</v>
      </c>
    </row>
    <row r="252" spans="1:15">
      <c r="A252" s="5" t="s">
        <v>15</v>
      </c>
      <c r="B252" s="5" t="str">
        <f>"FES1162739666"</f>
        <v>FES1162739666</v>
      </c>
      <c r="C252" s="5" t="s">
        <v>22</v>
      </c>
      <c r="D252" s="5">
        <v>1</v>
      </c>
      <c r="E252" s="5">
        <v>2170730886</v>
      </c>
      <c r="F252" s="5" t="s">
        <v>17</v>
      </c>
      <c r="G252" s="5" t="s">
        <v>18</v>
      </c>
      <c r="H252" s="5" t="s">
        <v>100</v>
      </c>
      <c r="I252" s="5" t="s">
        <v>117</v>
      </c>
      <c r="J252" s="5" t="s">
        <v>335</v>
      </c>
      <c r="K252" s="5" t="s">
        <v>77</v>
      </c>
      <c r="L252" s="6">
        <v>0.50277777777777777</v>
      </c>
      <c r="M252" s="5" t="s">
        <v>336</v>
      </c>
      <c r="N252" s="5" t="s">
        <v>24</v>
      </c>
      <c r="O252" s="5" t="s">
        <v>25</v>
      </c>
    </row>
    <row r="253" spans="1:15">
      <c r="A253" s="5" t="s">
        <v>15</v>
      </c>
      <c r="B253" s="5" t="str">
        <f>"FES1162739608"</f>
        <v>FES1162739608</v>
      </c>
      <c r="C253" s="5" t="s">
        <v>22</v>
      </c>
      <c r="D253" s="5">
        <v>1</v>
      </c>
      <c r="E253" s="5">
        <v>2170729013</v>
      </c>
      <c r="F253" s="5" t="s">
        <v>17</v>
      </c>
      <c r="G253" s="5" t="s">
        <v>18</v>
      </c>
      <c r="H253" s="5" t="s">
        <v>36</v>
      </c>
      <c r="I253" s="5" t="s">
        <v>330</v>
      </c>
      <c r="J253" s="5" t="s">
        <v>331</v>
      </c>
      <c r="K253" s="5" t="s">
        <v>77</v>
      </c>
      <c r="L253" s="6">
        <v>0.41319444444444442</v>
      </c>
      <c r="M253" s="5" t="s">
        <v>332</v>
      </c>
      <c r="N253" s="5" t="s">
        <v>24</v>
      </c>
      <c r="O253" s="5" t="s">
        <v>25</v>
      </c>
    </row>
    <row r="254" spans="1:15">
      <c r="A254" s="5" t="s">
        <v>15</v>
      </c>
      <c r="B254" s="5" t="str">
        <f>"FES1162739645"</f>
        <v>FES1162739645</v>
      </c>
      <c r="C254" s="5" t="s">
        <v>22</v>
      </c>
      <c r="D254" s="5">
        <v>1</v>
      </c>
      <c r="E254" s="5">
        <v>2170730399</v>
      </c>
      <c r="F254" s="5" t="s">
        <v>17</v>
      </c>
      <c r="G254" s="5" t="s">
        <v>18</v>
      </c>
      <c r="H254" s="5" t="s">
        <v>100</v>
      </c>
      <c r="I254" s="5" t="s">
        <v>262</v>
      </c>
      <c r="J254" s="5" t="s">
        <v>263</v>
      </c>
      <c r="K254" s="5" t="s">
        <v>77</v>
      </c>
      <c r="L254" s="6">
        <v>0.41319444444444442</v>
      </c>
      <c r="M254" s="5" t="s">
        <v>374</v>
      </c>
      <c r="N254" s="5" t="s">
        <v>24</v>
      </c>
      <c r="O254" s="5" t="s">
        <v>373</v>
      </c>
    </row>
    <row r="255" spans="1:15">
      <c r="A255" s="5" t="s">
        <v>15</v>
      </c>
      <c r="B255" s="5" t="str">
        <f>"FES1162739660"</f>
        <v>FES1162739660</v>
      </c>
      <c r="C255" s="5" t="s">
        <v>22</v>
      </c>
      <c r="D255" s="5">
        <v>0</v>
      </c>
      <c r="E255" s="5">
        <v>2170730790</v>
      </c>
      <c r="F255" s="5" t="s">
        <v>17</v>
      </c>
      <c r="G255" s="5" t="s">
        <v>18</v>
      </c>
      <c r="H255" s="5" t="s">
        <v>36</v>
      </c>
      <c r="I255" s="5" t="s">
        <v>37</v>
      </c>
      <c r="J255" s="5" t="s">
        <v>375</v>
      </c>
      <c r="K255" s="5" t="s">
        <v>77</v>
      </c>
      <c r="L255" s="6">
        <v>0.3972222222222222</v>
      </c>
      <c r="M255" s="5" t="s">
        <v>376</v>
      </c>
      <c r="N255" s="5" t="s">
        <v>24</v>
      </c>
      <c r="O255" s="5" t="s">
        <v>25</v>
      </c>
    </row>
    <row r="256" spans="1:15">
      <c r="A256" s="5" t="s">
        <v>15</v>
      </c>
      <c r="B256" s="5" t="str">
        <f>"FES1162739607"</f>
        <v>FES1162739607</v>
      </c>
      <c r="C256" s="5" t="s">
        <v>22</v>
      </c>
      <c r="D256" s="5">
        <v>1</v>
      </c>
      <c r="E256" s="5">
        <v>217072954</v>
      </c>
      <c r="F256" s="5" t="s">
        <v>17</v>
      </c>
      <c r="G256" s="5" t="s">
        <v>18</v>
      </c>
      <c r="H256" s="5" t="s">
        <v>36</v>
      </c>
      <c r="I256" s="5" t="s">
        <v>37</v>
      </c>
      <c r="J256" s="5" t="s">
        <v>38</v>
      </c>
      <c r="K256" s="5" t="s">
        <v>77</v>
      </c>
      <c r="L256" s="6">
        <v>0.38819444444444445</v>
      </c>
      <c r="M256" s="5" t="s">
        <v>377</v>
      </c>
      <c r="N256" s="5" t="s">
        <v>24</v>
      </c>
      <c r="O256" s="5" t="s">
        <v>25</v>
      </c>
    </row>
    <row r="257" spans="1:15">
      <c r="A257" s="5" t="s">
        <v>15</v>
      </c>
      <c r="B257" s="5" t="str">
        <f>"FES1162739611"</f>
        <v>FES1162739611</v>
      </c>
      <c r="C257" s="5" t="s">
        <v>22</v>
      </c>
      <c r="D257" s="5">
        <v>1</v>
      </c>
      <c r="E257" s="5">
        <v>2170725638</v>
      </c>
      <c r="F257" s="5" t="s">
        <v>17</v>
      </c>
      <c r="G257" s="5" t="s">
        <v>18</v>
      </c>
      <c r="H257" s="5" t="s">
        <v>36</v>
      </c>
      <c r="I257" s="5" t="s">
        <v>37</v>
      </c>
      <c r="J257" s="5" t="s">
        <v>187</v>
      </c>
      <c r="K257" s="5" t="s">
        <v>77</v>
      </c>
      <c r="L257" s="6">
        <v>0.33680555555555558</v>
      </c>
      <c r="M257" s="5" t="s">
        <v>188</v>
      </c>
      <c r="N257" s="5" t="s">
        <v>24</v>
      </c>
      <c r="O257" s="5" t="s">
        <v>25</v>
      </c>
    </row>
    <row r="258" spans="1:15">
      <c r="A258" s="3" t="s">
        <v>15</v>
      </c>
      <c r="B258" s="3" t="str">
        <f>"FES1162739637"</f>
        <v>FES1162739637</v>
      </c>
      <c r="C258" s="3" t="s">
        <v>22</v>
      </c>
      <c r="D258" s="3">
        <v>1</v>
      </c>
      <c r="E258" s="3">
        <v>2170730270</v>
      </c>
      <c r="F258" s="3" t="s">
        <v>17</v>
      </c>
      <c r="G258" s="3" t="s">
        <v>18</v>
      </c>
      <c r="H258" s="3" t="s">
        <v>36</v>
      </c>
      <c r="I258" s="3" t="s">
        <v>37</v>
      </c>
      <c r="J258" s="3" t="s">
        <v>378</v>
      </c>
      <c r="K258" s="3" t="s">
        <v>77</v>
      </c>
      <c r="L258" s="4">
        <v>0.36388888888888887</v>
      </c>
      <c r="M258" s="3" t="s">
        <v>379</v>
      </c>
      <c r="N258" s="3" t="s">
        <v>24</v>
      </c>
      <c r="O258" s="3" t="s">
        <v>25</v>
      </c>
    </row>
    <row r="259" spans="1:15">
      <c r="A259" s="3" t="s">
        <v>15</v>
      </c>
      <c r="B259" s="3" t="str">
        <f>"FES1162739628"</f>
        <v>FES1162739628</v>
      </c>
      <c r="C259" s="3" t="s">
        <v>22</v>
      </c>
      <c r="D259" s="3">
        <v>1</v>
      </c>
      <c r="E259" s="3">
        <v>2170729205</v>
      </c>
      <c r="F259" s="3" t="s">
        <v>17</v>
      </c>
      <c r="G259" s="3" t="s">
        <v>18</v>
      </c>
      <c r="H259" s="3" t="s">
        <v>18</v>
      </c>
      <c r="I259" s="3" t="s">
        <v>380</v>
      </c>
      <c r="J259" s="3" t="s">
        <v>278</v>
      </c>
      <c r="K259" s="3" t="s">
        <v>77</v>
      </c>
      <c r="L259" s="4">
        <v>0.38263888888888892</v>
      </c>
      <c r="M259" s="3" t="s">
        <v>381</v>
      </c>
      <c r="N259" s="3" t="s">
        <v>24</v>
      </c>
      <c r="O259" s="3" t="s">
        <v>25</v>
      </c>
    </row>
    <row r="260" spans="1:15">
      <c r="A260" s="3" t="s">
        <v>15</v>
      </c>
      <c r="B260" s="3" t="str">
        <f>"FES1162739706"</f>
        <v>FES1162739706</v>
      </c>
      <c r="C260" s="3" t="s">
        <v>22</v>
      </c>
      <c r="D260" s="3">
        <v>0</v>
      </c>
      <c r="E260" s="3">
        <v>2170731342</v>
      </c>
      <c r="F260" s="3" t="s">
        <v>17</v>
      </c>
      <c r="G260" s="3" t="s">
        <v>18</v>
      </c>
      <c r="H260" s="3" t="s">
        <v>36</v>
      </c>
      <c r="I260" s="3" t="s">
        <v>37</v>
      </c>
      <c r="J260" s="3" t="s">
        <v>187</v>
      </c>
      <c r="K260" s="3" t="s">
        <v>77</v>
      </c>
      <c r="L260" s="4">
        <v>0.33680555555555558</v>
      </c>
      <c r="M260" s="3" t="s">
        <v>188</v>
      </c>
      <c r="N260" s="3" t="s">
        <v>24</v>
      </c>
      <c r="O260" s="3" t="s">
        <v>25</v>
      </c>
    </row>
    <row r="261" spans="1:15">
      <c r="A261" s="3" t="s">
        <v>15</v>
      </c>
      <c r="B261" s="3" t="str">
        <f>"FES1162739683"</f>
        <v>FES1162739683</v>
      </c>
      <c r="C261" s="3" t="s">
        <v>22</v>
      </c>
      <c r="D261" s="3">
        <v>1</v>
      </c>
      <c r="E261" s="3">
        <v>2170731161</v>
      </c>
      <c r="F261" s="3" t="s">
        <v>17</v>
      </c>
      <c r="G261" s="3" t="s">
        <v>18</v>
      </c>
      <c r="H261" s="3" t="s">
        <v>18</v>
      </c>
      <c r="I261" s="3" t="s">
        <v>33</v>
      </c>
      <c r="J261" s="3" t="s">
        <v>93</v>
      </c>
      <c r="K261" s="3" t="s">
        <v>77</v>
      </c>
      <c r="L261" s="4">
        <v>0.375</v>
      </c>
      <c r="M261" s="3" t="s">
        <v>382</v>
      </c>
      <c r="N261" s="3" t="s">
        <v>24</v>
      </c>
      <c r="O261" s="3" t="s">
        <v>25</v>
      </c>
    </row>
    <row r="262" spans="1:15">
      <c r="A262" s="3" t="s">
        <v>15</v>
      </c>
      <c r="B262" s="3" t="str">
        <f>"FES1162739665"</f>
        <v>FES1162739665</v>
      </c>
      <c r="C262" s="3" t="s">
        <v>22</v>
      </c>
      <c r="D262" s="3">
        <v>0</v>
      </c>
      <c r="E262" s="3">
        <v>2170730858</v>
      </c>
      <c r="F262" s="3" t="s">
        <v>17</v>
      </c>
      <c r="G262" s="3" t="s">
        <v>18</v>
      </c>
      <c r="H262" s="3" t="s">
        <v>36</v>
      </c>
      <c r="I262" s="3" t="s">
        <v>37</v>
      </c>
      <c r="J262" s="3" t="s">
        <v>113</v>
      </c>
      <c r="K262" s="3" t="s">
        <v>77</v>
      </c>
      <c r="L262" s="4">
        <v>0.41736111111111113</v>
      </c>
      <c r="M262" s="3" t="s">
        <v>383</v>
      </c>
      <c r="N262" s="3" t="s">
        <v>24</v>
      </c>
      <c r="O262" s="3" t="s">
        <v>25</v>
      </c>
    </row>
    <row r="263" spans="1:15">
      <c r="A263" s="3" t="s">
        <v>15</v>
      </c>
      <c r="B263" s="3" t="str">
        <f>"FES1162739668"</f>
        <v>FES1162739668</v>
      </c>
      <c r="C263" s="3" t="s">
        <v>22</v>
      </c>
      <c r="D263" s="3">
        <v>1</v>
      </c>
      <c r="E263" s="3">
        <v>2170730916</v>
      </c>
      <c r="F263" s="3" t="s">
        <v>17</v>
      </c>
      <c r="G263" s="3" t="s">
        <v>18</v>
      </c>
      <c r="H263" s="3" t="s">
        <v>66</v>
      </c>
      <c r="I263" s="3" t="s">
        <v>67</v>
      </c>
      <c r="J263" s="3" t="s">
        <v>384</v>
      </c>
      <c r="K263" s="3" t="s">
        <v>77</v>
      </c>
      <c r="L263" s="4">
        <v>0.36458333333333331</v>
      </c>
      <c r="M263" s="3" t="s">
        <v>385</v>
      </c>
      <c r="N263" s="3" t="s">
        <v>24</v>
      </c>
      <c r="O263" s="3" t="s">
        <v>25</v>
      </c>
    </row>
    <row r="264" spans="1:15">
      <c r="A264" s="3" t="s">
        <v>15</v>
      </c>
      <c r="B264" s="3" t="str">
        <f>"FES1162739633"</f>
        <v>FES1162739633</v>
      </c>
      <c r="C264" s="3" t="s">
        <v>22</v>
      </c>
      <c r="D264" s="3">
        <v>1</v>
      </c>
      <c r="E264" s="3">
        <v>2170729595</v>
      </c>
      <c r="F264" s="3" t="s">
        <v>17</v>
      </c>
      <c r="G264" s="3" t="s">
        <v>18</v>
      </c>
      <c r="H264" s="3" t="s">
        <v>18</v>
      </c>
      <c r="I264" s="3" t="s">
        <v>291</v>
      </c>
      <c r="J264" s="3" t="s">
        <v>386</v>
      </c>
      <c r="K264" s="3" t="s">
        <v>77</v>
      </c>
      <c r="L264" s="4">
        <v>0.33333333333333331</v>
      </c>
      <c r="M264" s="3" t="s">
        <v>387</v>
      </c>
      <c r="N264" s="3" t="s">
        <v>24</v>
      </c>
      <c r="O264" s="3" t="s">
        <v>25</v>
      </c>
    </row>
    <row r="265" spans="1:15">
      <c r="A265" s="3" t="s">
        <v>15</v>
      </c>
      <c r="B265" s="3" t="str">
        <f>"FES1162739686"</f>
        <v>FES1162739686</v>
      </c>
      <c r="C265" s="3" t="s">
        <v>22</v>
      </c>
      <c r="D265" s="3">
        <v>1</v>
      </c>
      <c r="E265" s="3">
        <v>2170731220</v>
      </c>
      <c r="F265" s="3" t="s">
        <v>17</v>
      </c>
      <c r="G265" s="3" t="s">
        <v>18</v>
      </c>
      <c r="H265" s="3" t="s">
        <v>19</v>
      </c>
      <c r="I265" s="3" t="s">
        <v>51</v>
      </c>
      <c r="J265" s="3" t="s">
        <v>388</v>
      </c>
      <c r="K265" s="3" t="s">
        <v>77</v>
      </c>
      <c r="L265" s="4">
        <v>0.41944444444444445</v>
      </c>
      <c r="M265" s="3" t="s">
        <v>389</v>
      </c>
      <c r="N265" s="3" t="s">
        <v>24</v>
      </c>
      <c r="O265" s="3" t="s">
        <v>25</v>
      </c>
    </row>
    <row r="266" spans="1:15">
      <c r="A266" s="3" t="s">
        <v>15</v>
      </c>
      <c r="B266" s="3" t="str">
        <f>"FES1162739671"</f>
        <v>FES1162739671</v>
      </c>
      <c r="C266" s="3" t="s">
        <v>22</v>
      </c>
      <c r="D266" s="3">
        <v>0</v>
      </c>
      <c r="E266" s="3">
        <v>2170730938</v>
      </c>
      <c r="F266" s="3" t="s">
        <v>17</v>
      </c>
      <c r="G266" s="3" t="s">
        <v>18</v>
      </c>
      <c r="H266" s="3" t="s">
        <v>46</v>
      </c>
      <c r="I266" s="3" t="s">
        <v>47</v>
      </c>
      <c r="J266" s="3" t="s">
        <v>390</v>
      </c>
      <c r="K266" s="3" t="s">
        <v>77</v>
      </c>
      <c r="L266" s="4">
        <v>0.43333333333333335</v>
      </c>
      <c r="M266" s="3" t="s">
        <v>391</v>
      </c>
      <c r="N266" s="3" t="s">
        <v>24</v>
      </c>
      <c r="O266" s="3" t="s">
        <v>25</v>
      </c>
    </row>
    <row r="267" spans="1:15">
      <c r="A267" s="3" t="s">
        <v>15</v>
      </c>
      <c r="B267" s="3" t="str">
        <f>"FES1162739639"</f>
        <v>FES1162739639</v>
      </c>
      <c r="C267" s="3" t="s">
        <v>22</v>
      </c>
      <c r="D267" s="3">
        <v>1</v>
      </c>
      <c r="E267" s="3">
        <v>2170730305</v>
      </c>
      <c r="F267" s="3" t="s">
        <v>214</v>
      </c>
      <c r="G267" s="3" t="s">
        <v>18</v>
      </c>
      <c r="H267" s="3" t="s">
        <v>70</v>
      </c>
      <c r="I267" s="3" t="s">
        <v>71</v>
      </c>
      <c r="J267" s="3" t="s">
        <v>392</v>
      </c>
      <c r="K267" s="3" t="s">
        <v>77</v>
      </c>
      <c r="L267" s="4">
        <v>0.57361111111111118</v>
      </c>
      <c r="M267" s="3" t="s">
        <v>393</v>
      </c>
      <c r="N267" s="3" t="s">
        <v>24</v>
      </c>
      <c r="O267" s="3" t="s">
        <v>317</v>
      </c>
    </row>
    <row r="268" spans="1:15">
      <c r="A268" s="3" t="s">
        <v>15</v>
      </c>
      <c r="B268" s="3" t="str">
        <f>"FES1162739610"</f>
        <v>FES1162739610</v>
      </c>
      <c r="C268" s="3" t="s">
        <v>22</v>
      </c>
      <c r="D268" s="3">
        <v>1</v>
      </c>
      <c r="E268" s="3">
        <v>2170731324</v>
      </c>
      <c r="F268" s="3" t="s">
        <v>17</v>
      </c>
      <c r="G268" s="3" t="s">
        <v>18</v>
      </c>
      <c r="H268" s="3" t="s">
        <v>70</v>
      </c>
      <c r="I268" s="3" t="s">
        <v>71</v>
      </c>
      <c r="J268" s="3" t="s">
        <v>252</v>
      </c>
      <c r="K268" s="3" t="s">
        <v>77</v>
      </c>
      <c r="L268" s="4">
        <v>0.35069444444444442</v>
      </c>
      <c r="M268" s="3" t="s">
        <v>394</v>
      </c>
      <c r="N268" s="3" t="s">
        <v>24</v>
      </c>
      <c r="O268" s="3" t="s">
        <v>25</v>
      </c>
    </row>
    <row r="269" spans="1:15">
      <c r="A269" s="3" t="s">
        <v>15</v>
      </c>
      <c r="B269" s="3" t="str">
        <f>"FES1162739643"</f>
        <v>FES1162739643</v>
      </c>
      <c r="C269" s="3" t="s">
        <v>22</v>
      </c>
      <c r="D269" s="3">
        <v>1</v>
      </c>
      <c r="E269" s="3">
        <v>2170730388</v>
      </c>
      <c r="F269" s="3" t="s">
        <v>17</v>
      </c>
      <c r="G269" s="3" t="s">
        <v>18</v>
      </c>
      <c r="H269" s="3" t="s">
        <v>19</v>
      </c>
      <c r="I269" s="3" t="s">
        <v>20</v>
      </c>
      <c r="J269" s="3" t="s">
        <v>395</v>
      </c>
      <c r="K269" s="3" t="s">
        <v>77</v>
      </c>
      <c r="L269" s="4">
        <v>0.35000000000000003</v>
      </c>
      <c r="M269" s="3" t="s">
        <v>396</v>
      </c>
      <c r="N269" s="3" t="s">
        <v>24</v>
      </c>
      <c r="O269" s="3" t="s">
        <v>25</v>
      </c>
    </row>
    <row r="270" spans="1:15">
      <c r="A270" s="3" t="s">
        <v>15</v>
      </c>
      <c r="B270" s="3" t="str">
        <f>"FES1162739576"</f>
        <v>FES1162739576</v>
      </c>
      <c r="C270" s="3" t="s">
        <v>22</v>
      </c>
      <c r="D270" s="3">
        <v>1</v>
      </c>
      <c r="E270" s="3">
        <v>2170731289</v>
      </c>
      <c r="F270" s="3" t="s">
        <v>17</v>
      </c>
      <c r="G270" s="3" t="s">
        <v>18</v>
      </c>
      <c r="H270" s="3" t="s">
        <v>18</v>
      </c>
      <c r="I270" s="3" t="s">
        <v>222</v>
      </c>
      <c r="J270" s="3" t="s">
        <v>397</v>
      </c>
      <c r="K270" s="3" t="s">
        <v>77</v>
      </c>
      <c r="L270" s="4">
        <v>0.3888888888888889</v>
      </c>
      <c r="M270" s="3" t="s">
        <v>398</v>
      </c>
      <c r="N270" s="3" t="s">
        <v>24</v>
      </c>
      <c r="O270" s="3" t="s">
        <v>25</v>
      </c>
    </row>
    <row r="271" spans="1:15">
      <c r="A271" s="3" t="s">
        <v>15</v>
      </c>
      <c r="B271" s="3" t="str">
        <f>"FES1162739616"</f>
        <v>FES1162739616</v>
      </c>
      <c r="C271" s="3" t="s">
        <v>22</v>
      </c>
      <c r="D271" s="3">
        <v>1</v>
      </c>
      <c r="E271" s="3">
        <v>2170737342</v>
      </c>
      <c r="F271" s="3" t="s">
        <v>17</v>
      </c>
      <c r="G271" s="3" t="s">
        <v>18</v>
      </c>
      <c r="H271" s="3" t="s">
        <v>18</v>
      </c>
      <c r="I271" s="3" t="s">
        <v>206</v>
      </c>
      <c r="J271" s="3" t="s">
        <v>399</v>
      </c>
      <c r="K271" s="3" t="s">
        <v>77</v>
      </c>
      <c r="L271" s="4">
        <v>0.43055555555555558</v>
      </c>
      <c r="M271" s="3" t="s">
        <v>400</v>
      </c>
      <c r="N271" s="3" t="s">
        <v>24</v>
      </c>
      <c r="O271" s="3" t="s">
        <v>25</v>
      </c>
    </row>
    <row r="272" spans="1:15">
      <c r="A272" s="3" t="s">
        <v>15</v>
      </c>
      <c r="B272" s="3" t="str">
        <f>"FES1162739506"</f>
        <v>FES1162739506</v>
      </c>
      <c r="C272" s="3" t="s">
        <v>22</v>
      </c>
      <c r="D272" s="3">
        <v>1</v>
      </c>
      <c r="E272" s="3">
        <v>2170731199</v>
      </c>
      <c r="F272" s="3" t="s">
        <v>17</v>
      </c>
      <c r="G272" s="3" t="s">
        <v>18</v>
      </c>
      <c r="H272" s="3" t="s">
        <v>18</v>
      </c>
      <c r="I272" s="3" t="s">
        <v>29</v>
      </c>
      <c r="J272" s="3" t="s">
        <v>307</v>
      </c>
      <c r="K272" s="3" t="s">
        <v>77</v>
      </c>
      <c r="L272" s="4">
        <v>0.32708333333333334</v>
      </c>
      <c r="M272" s="3" t="s">
        <v>308</v>
      </c>
      <c r="N272" s="3" t="s">
        <v>24</v>
      </c>
      <c r="O272" s="3" t="s">
        <v>25</v>
      </c>
    </row>
    <row r="273" spans="1:15">
      <c r="A273" s="3" t="s">
        <v>15</v>
      </c>
      <c r="B273" s="3" t="str">
        <f>"FES1162739612"</f>
        <v>FES1162739612</v>
      </c>
      <c r="C273" s="3" t="s">
        <v>22</v>
      </c>
      <c r="D273" s="3">
        <v>0</v>
      </c>
      <c r="E273" s="3">
        <v>2170726350</v>
      </c>
      <c r="F273" s="3" t="s">
        <v>17</v>
      </c>
      <c r="G273" s="3" t="s">
        <v>18</v>
      </c>
      <c r="H273" s="3" t="s">
        <v>18</v>
      </c>
      <c r="I273" s="3" t="s">
        <v>29</v>
      </c>
      <c r="J273" s="3" t="s">
        <v>401</v>
      </c>
      <c r="K273" s="3" t="s">
        <v>77</v>
      </c>
      <c r="L273" s="4">
        <v>0.58680555555555558</v>
      </c>
      <c r="M273" s="3" t="s">
        <v>402</v>
      </c>
      <c r="N273" s="3" t="s">
        <v>24</v>
      </c>
      <c r="O273" s="3" t="s">
        <v>25</v>
      </c>
    </row>
    <row r="274" spans="1:15">
      <c r="A274" s="3" t="s">
        <v>15</v>
      </c>
      <c r="B274" s="3" t="str">
        <f>"FES1162739647"</f>
        <v>FES1162739647</v>
      </c>
      <c r="C274" s="3" t="s">
        <v>22</v>
      </c>
      <c r="D274" s="3">
        <v>1</v>
      </c>
      <c r="E274" s="3">
        <v>2170730433</v>
      </c>
      <c r="F274" s="3" t="s">
        <v>17</v>
      </c>
      <c r="G274" s="3" t="s">
        <v>18</v>
      </c>
      <c r="H274" s="3" t="s">
        <v>18</v>
      </c>
      <c r="I274" s="3" t="s">
        <v>29</v>
      </c>
      <c r="J274" s="3" t="s">
        <v>403</v>
      </c>
      <c r="K274" s="3" t="s">
        <v>77</v>
      </c>
      <c r="L274" s="4">
        <v>0.4375</v>
      </c>
      <c r="M274" s="3" t="s">
        <v>404</v>
      </c>
      <c r="N274" s="3" t="s">
        <v>24</v>
      </c>
      <c r="O274" s="3" t="s">
        <v>25</v>
      </c>
    </row>
    <row r="275" spans="1:15">
      <c r="A275" s="3" t="s">
        <v>15</v>
      </c>
      <c r="B275" s="3" t="str">
        <f>"FES1162739583"</f>
        <v>FES1162739583</v>
      </c>
      <c r="C275" s="3" t="s">
        <v>22</v>
      </c>
      <c r="D275" s="3">
        <v>1</v>
      </c>
      <c r="E275" s="3">
        <v>217073101</v>
      </c>
      <c r="F275" s="3" t="s">
        <v>17</v>
      </c>
      <c r="G275" s="3" t="s">
        <v>18</v>
      </c>
      <c r="H275" s="3" t="s">
        <v>18</v>
      </c>
      <c r="I275" s="3" t="s">
        <v>180</v>
      </c>
      <c r="J275" s="3" t="s">
        <v>405</v>
      </c>
      <c r="K275" s="3" t="s">
        <v>77</v>
      </c>
      <c r="L275" s="4">
        <v>0.37152777777777773</v>
      </c>
      <c r="M275" s="3" t="s">
        <v>406</v>
      </c>
      <c r="N275" s="3" t="s">
        <v>24</v>
      </c>
      <c r="O275" s="3" t="s">
        <v>25</v>
      </c>
    </row>
    <row r="276" spans="1:15">
      <c r="A276" s="3" t="s">
        <v>15</v>
      </c>
      <c r="B276" s="3" t="str">
        <f>"FES1162739269"</f>
        <v>FES1162739269</v>
      </c>
      <c r="C276" s="3" t="s">
        <v>22</v>
      </c>
      <c r="D276" s="3">
        <v>1</v>
      </c>
      <c r="E276" s="3">
        <v>2170728285</v>
      </c>
      <c r="F276" s="3" t="s">
        <v>17</v>
      </c>
      <c r="G276" s="3" t="s">
        <v>18</v>
      </c>
      <c r="H276" s="3" t="s">
        <v>18</v>
      </c>
      <c r="I276" s="3" t="s">
        <v>206</v>
      </c>
      <c r="J276" s="3" t="s">
        <v>399</v>
      </c>
      <c r="K276" s="3" t="s">
        <v>77</v>
      </c>
      <c r="L276" s="4">
        <v>0.43055555555555558</v>
      </c>
      <c r="M276" s="3" t="s">
        <v>400</v>
      </c>
      <c r="N276" s="3" t="s">
        <v>24</v>
      </c>
      <c r="O276" s="3" t="s">
        <v>25</v>
      </c>
    </row>
    <row r="277" spans="1:15">
      <c r="A277" s="3" t="s">
        <v>15</v>
      </c>
      <c r="B277" s="3" t="str">
        <f>"FES1162739716"</f>
        <v>FES1162739716</v>
      </c>
      <c r="C277" s="3" t="s">
        <v>22</v>
      </c>
      <c r="D277" s="3">
        <v>1</v>
      </c>
      <c r="E277" s="3">
        <v>2170728250</v>
      </c>
      <c r="F277" s="3" t="s">
        <v>17</v>
      </c>
      <c r="G277" s="3" t="s">
        <v>18</v>
      </c>
      <c r="H277" s="3" t="s">
        <v>18</v>
      </c>
      <c r="I277" s="3" t="s">
        <v>151</v>
      </c>
      <c r="J277" s="3" t="s">
        <v>407</v>
      </c>
      <c r="K277" s="3" t="s">
        <v>77</v>
      </c>
      <c r="L277" s="4">
        <v>0.4826388888888889</v>
      </c>
      <c r="M277" s="3" t="s">
        <v>408</v>
      </c>
      <c r="N277" s="3" t="s">
        <v>24</v>
      </c>
      <c r="O277" s="3" t="s">
        <v>25</v>
      </c>
    </row>
    <row r="278" spans="1:15">
      <c r="A278" s="3" t="s">
        <v>15</v>
      </c>
      <c r="B278" s="3" t="str">
        <f>"FES1162739630"</f>
        <v>FES1162739630</v>
      </c>
      <c r="C278" s="3" t="s">
        <v>22</v>
      </c>
      <c r="D278" s="3">
        <v>0</v>
      </c>
      <c r="E278" s="3">
        <v>2170729400</v>
      </c>
      <c r="F278" s="3" t="s">
        <v>17</v>
      </c>
      <c r="G278" s="3" t="s">
        <v>18</v>
      </c>
      <c r="H278" s="3" t="s">
        <v>36</v>
      </c>
      <c r="I278" s="3" t="s">
        <v>37</v>
      </c>
      <c r="J278" s="3" t="s">
        <v>187</v>
      </c>
      <c r="K278" s="3" t="s">
        <v>77</v>
      </c>
      <c r="L278" s="4">
        <v>0.33680555555555558</v>
      </c>
      <c r="M278" s="3" t="s">
        <v>188</v>
      </c>
      <c r="N278" s="3" t="s">
        <v>24</v>
      </c>
      <c r="O278" s="3" t="s">
        <v>25</v>
      </c>
    </row>
    <row r="279" spans="1:15">
      <c r="A279" s="3" t="s">
        <v>15</v>
      </c>
      <c r="B279" s="3" t="str">
        <f>"FES1162739653"</f>
        <v>FES1162739653</v>
      </c>
      <c r="C279" s="3" t="s">
        <v>22</v>
      </c>
      <c r="D279" s="3">
        <v>0</v>
      </c>
      <c r="E279" s="3">
        <v>2170730677</v>
      </c>
      <c r="F279" s="3" t="s">
        <v>17</v>
      </c>
      <c r="G279" s="3" t="s">
        <v>18</v>
      </c>
      <c r="H279" s="3" t="s">
        <v>100</v>
      </c>
      <c r="I279" s="3" t="s">
        <v>262</v>
      </c>
      <c r="J279" s="3" t="s">
        <v>409</v>
      </c>
      <c r="K279" s="3" t="s">
        <v>410</v>
      </c>
      <c r="L279" s="4">
        <v>0.35486111111111113</v>
      </c>
      <c r="M279" s="3" t="s">
        <v>411</v>
      </c>
      <c r="N279" s="3" t="s">
        <v>24</v>
      </c>
      <c r="O279" s="3" t="s">
        <v>25</v>
      </c>
    </row>
    <row r="280" spans="1:15">
      <c r="A280" s="3" t="s">
        <v>15</v>
      </c>
      <c r="B280" s="3" t="str">
        <f>"FES1162739692"</f>
        <v>FES1162739692</v>
      </c>
      <c r="C280" s="3" t="s">
        <v>22</v>
      </c>
      <c r="D280" s="3">
        <v>1</v>
      </c>
      <c r="E280" s="3">
        <v>2170731299</v>
      </c>
      <c r="F280" s="3" t="s">
        <v>17</v>
      </c>
      <c r="G280" s="3" t="s">
        <v>18</v>
      </c>
      <c r="H280" s="3" t="s">
        <v>18</v>
      </c>
      <c r="I280" s="3" t="s">
        <v>171</v>
      </c>
      <c r="J280" s="3" t="s">
        <v>189</v>
      </c>
      <c r="K280" s="3" t="s">
        <v>77</v>
      </c>
      <c r="L280" s="4">
        <v>0.30902777777777779</v>
      </c>
      <c r="M280" s="3" t="s">
        <v>412</v>
      </c>
      <c r="N280" s="3" t="s">
        <v>24</v>
      </c>
      <c r="O280" s="3" t="s">
        <v>25</v>
      </c>
    </row>
    <row r="281" spans="1:15">
      <c r="A281" s="3" t="s">
        <v>15</v>
      </c>
      <c r="B281" s="3" t="str">
        <f>"FES1162739615"</f>
        <v>FES1162739615</v>
      </c>
      <c r="C281" s="3" t="s">
        <v>22</v>
      </c>
      <c r="D281" s="3">
        <v>1</v>
      </c>
      <c r="E281" s="3">
        <v>2170727012</v>
      </c>
      <c r="F281" s="3" t="s">
        <v>17</v>
      </c>
      <c r="G281" s="3" t="s">
        <v>18</v>
      </c>
      <c r="H281" s="3" t="s">
        <v>18</v>
      </c>
      <c r="I281" s="3" t="s">
        <v>33</v>
      </c>
      <c r="J281" s="3" t="s">
        <v>413</v>
      </c>
      <c r="K281" s="3" t="s">
        <v>77</v>
      </c>
      <c r="L281" s="4">
        <v>0.30624999999999997</v>
      </c>
      <c r="M281" s="3" t="s">
        <v>414</v>
      </c>
      <c r="N281" s="3" t="s">
        <v>24</v>
      </c>
      <c r="O281" s="3" t="s">
        <v>25</v>
      </c>
    </row>
    <row r="282" spans="1:15">
      <c r="A282" s="3" t="s">
        <v>15</v>
      </c>
      <c r="B282" s="3" t="str">
        <f>"FES1162739673"</f>
        <v>FES1162739673</v>
      </c>
      <c r="C282" s="3" t="s">
        <v>22</v>
      </c>
      <c r="D282" s="3">
        <v>1</v>
      </c>
      <c r="E282" s="3">
        <v>2170730952</v>
      </c>
      <c r="F282" s="3" t="s">
        <v>17</v>
      </c>
      <c r="G282" s="3" t="s">
        <v>18</v>
      </c>
      <c r="H282" s="3" t="s">
        <v>18</v>
      </c>
      <c r="I282" s="3" t="s">
        <v>171</v>
      </c>
      <c r="J282" s="3" t="s">
        <v>415</v>
      </c>
      <c r="K282" s="3" t="s">
        <v>77</v>
      </c>
      <c r="L282" s="4">
        <v>0.40347222222222223</v>
      </c>
      <c r="M282" s="3" t="s">
        <v>416</v>
      </c>
      <c r="N282" s="3" t="s">
        <v>24</v>
      </c>
      <c r="O282" s="3" t="s">
        <v>25</v>
      </c>
    </row>
    <row r="283" spans="1:15">
      <c r="A283" s="3" t="s">
        <v>15</v>
      </c>
      <c r="B283" s="3" t="str">
        <f>"FES1162739703"</f>
        <v>FES1162739703</v>
      </c>
      <c r="C283" s="3" t="s">
        <v>22</v>
      </c>
      <c r="D283" s="3">
        <v>1</v>
      </c>
      <c r="E283" s="3">
        <v>2170731339</v>
      </c>
      <c r="F283" s="3" t="s">
        <v>17</v>
      </c>
      <c r="G283" s="3" t="s">
        <v>18</v>
      </c>
      <c r="H283" s="3" t="s">
        <v>18</v>
      </c>
      <c r="I283" s="3" t="s">
        <v>171</v>
      </c>
      <c r="J283" s="3" t="s">
        <v>369</v>
      </c>
      <c r="K283" s="3" t="s">
        <v>77</v>
      </c>
      <c r="L283" s="4">
        <v>0.34930555555555554</v>
      </c>
      <c r="M283" s="3" t="s">
        <v>370</v>
      </c>
      <c r="N283" s="3" t="s">
        <v>24</v>
      </c>
      <c r="O283" s="3" t="s">
        <v>25</v>
      </c>
    </row>
    <row r="284" spans="1:15">
      <c r="A284" s="3" t="s">
        <v>15</v>
      </c>
      <c r="B284" s="3" t="str">
        <f>"FES1162739574"</f>
        <v>FES1162739574</v>
      </c>
      <c r="C284" s="3" t="s">
        <v>22</v>
      </c>
      <c r="D284" s="3">
        <v>1</v>
      </c>
      <c r="E284" s="3">
        <v>217079389</v>
      </c>
      <c r="F284" s="3" t="s">
        <v>17</v>
      </c>
      <c r="G284" s="3" t="s">
        <v>18</v>
      </c>
      <c r="H284" s="3" t="s">
        <v>19</v>
      </c>
      <c r="I284" s="3" t="s">
        <v>20</v>
      </c>
      <c r="J284" s="3" t="s">
        <v>417</v>
      </c>
      <c r="K284" s="3" t="s">
        <v>77</v>
      </c>
      <c r="L284" s="4">
        <v>0.40972222222222227</v>
      </c>
      <c r="M284" s="3" t="s">
        <v>418</v>
      </c>
      <c r="N284" s="3" t="s">
        <v>24</v>
      </c>
      <c r="O284" s="3" t="s">
        <v>25</v>
      </c>
    </row>
    <row r="285" spans="1:15">
      <c r="A285" s="3" t="s">
        <v>15</v>
      </c>
      <c r="B285" s="3" t="str">
        <f>"FES1162739631"</f>
        <v>FES1162739631</v>
      </c>
      <c r="C285" s="3" t="s">
        <v>22</v>
      </c>
      <c r="D285" s="3">
        <v>1</v>
      </c>
      <c r="E285" s="3">
        <v>2170732491</v>
      </c>
      <c r="F285" s="3" t="s">
        <v>17</v>
      </c>
      <c r="G285" s="3" t="s">
        <v>18</v>
      </c>
      <c r="H285" s="3" t="s">
        <v>19</v>
      </c>
      <c r="I285" s="3" t="s">
        <v>51</v>
      </c>
      <c r="J285" s="3" t="s">
        <v>89</v>
      </c>
      <c r="K285" s="3" t="s">
        <v>77</v>
      </c>
      <c r="L285" s="4">
        <v>0.37361111111111112</v>
      </c>
      <c r="M285" s="3" t="s">
        <v>419</v>
      </c>
      <c r="N285" s="3" t="s">
        <v>24</v>
      </c>
      <c r="O285" s="3" t="s">
        <v>25</v>
      </c>
    </row>
    <row r="286" spans="1:15">
      <c r="A286" s="3" t="s">
        <v>15</v>
      </c>
      <c r="B286" s="3" t="str">
        <f>"FES1162739678"</f>
        <v>FES1162739678</v>
      </c>
      <c r="C286" s="3" t="s">
        <v>22</v>
      </c>
      <c r="D286" s="3">
        <v>1</v>
      </c>
      <c r="E286" s="3">
        <v>2170731042</v>
      </c>
      <c r="F286" s="3" t="s">
        <v>17</v>
      </c>
      <c r="G286" s="3" t="s">
        <v>18</v>
      </c>
      <c r="H286" s="3" t="s">
        <v>19</v>
      </c>
      <c r="I286" s="3" t="s">
        <v>20</v>
      </c>
      <c r="J286" s="3" t="s">
        <v>420</v>
      </c>
      <c r="K286" s="3" t="s">
        <v>77</v>
      </c>
      <c r="L286" s="4">
        <v>0.3659722222222222</v>
      </c>
      <c r="M286" s="3" t="s">
        <v>421</v>
      </c>
      <c r="N286" s="3" t="s">
        <v>24</v>
      </c>
      <c r="O286" s="3" t="s">
        <v>25</v>
      </c>
    </row>
    <row r="287" spans="1:15">
      <c r="A287" s="3" t="s">
        <v>15</v>
      </c>
      <c r="B287" s="3" t="str">
        <f>"FES1162739613"</f>
        <v>FES1162739613</v>
      </c>
      <c r="C287" s="3" t="s">
        <v>22</v>
      </c>
      <c r="D287" s="3">
        <v>1</v>
      </c>
      <c r="E287" s="3">
        <v>2170726405</v>
      </c>
      <c r="F287" s="3" t="s">
        <v>17</v>
      </c>
      <c r="G287" s="3" t="s">
        <v>18</v>
      </c>
      <c r="H287" s="3" t="s">
        <v>70</v>
      </c>
      <c r="I287" s="3" t="s">
        <v>71</v>
      </c>
      <c r="J287" s="3" t="s">
        <v>422</v>
      </c>
      <c r="K287" s="3" t="s">
        <v>77</v>
      </c>
      <c r="L287" s="4">
        <v>0.41666666666666669</v>
      </c>
      <c r="M287" s="3" t="s">
        <v>423</v>
      </c>
      <c r="N287" s="3" t="s">
        <v>24</v>
      </c>
      <c r="O287" s="3" t="s">
        <v>25</v>
      </c>
    </row>
    <row r="288" spans="1:15">
      <c r="A288" s="3" t="s">
        <v>15</v>
      </c>
      <c r="B288" s="3" t="str">
        <f>"FES1162739584"</f>
        <v>FES1162739584</v>
      </c>
      <c r="C288" s="3" t="s">
        <v>22</v>
      </c>
      <c r="D288" s="3">
        <v>2</v>
      </c>
      <c r="E288" s="3">
        <v>21707299955</v>
      </c>
      <c r="F288" s="3" t="s">
        <v>17</v>
      </c>
      <c r="G288" s="3" t="s">
        <v>18</v>
      </c>
      <c r="H288" s="3" t="s">
        <v>66</v>
      </c>
      <c r="I288" s="3" t="s">
        <v>67</v>
      </c>
      <c r="J288" s="3" t="s">
        <v>424</v>
      </c>
      <c r="K288" s="3" t="s">
        <v>77</v>
      </c>
      <c r="L288" s="4">
        <v>0.34722222222222227</v>
      </c>
      <c r="M288" s="3" t="s">
        <v>425</v>
      </c>
      <c r="N288" s="3" t="s">
        <v>24</v>
      </c>
      <c r="O288" s="3" t="s">
        <v>25</v>
      </c>
    </row>
    <row r="289" spans="1:15">
      <c r="A289" s="3" t="s">
        <v>15</v>
      </c>
      <c r="B289" s="3" t="str">
        <f>"FES1162739636"</f>
        <v>FES1162739636</v>
      </c>
      <c r="C289" s="3" t="s">
        <v>22</v>
      </c>
      <c r="D289" s="3">
        <v>1</v>
      </c>
      <c r="E289" s="3">
        <v>2170730247</v>
      </c>
      <c r="F289" s="3" t="s">
        <v>17</v>
      </c>
      <c r="G289" s="3" t="s">
        <v>18</v>
      </c>
      <c r="H289" s="3" t="s">
        <v>70</v>
      </c>
      <c r="I289" s="3" t="s">
        <v>71</v>
      </c>
      <c r="J289" s="3" t="s">
        <v>72</v>
      </c>
      <c r="K289" s="3" t="s">
        <v>77</v>
      </c>
      <c r="L289" s="4">
        <v>0.40277777777777773</v>
      </c>
      <c r="M289" s="3" t="s">
        <v>426</v>
      </c>
      <c r="N289" s="3" t="s">
        <v>24</v>
      </c>
      <c r="O289" s="3" t="s">
        <v>25</v>
      </c>
    </row>
    <row r="290" spans="1:15">
      <c r="A290" s="3" t="s">
        <v>15</v>
      </c>
      <c r="B290" s="3" t="str">
        <f>"FES1162739677"</f>
        <v>FES1162739677</v>
      </c>
      <c r="C290" s="3" t="s">
        <v>22</v>
      </c>
      <c r="D290" s="3">
        <v>1</v>
      </c>
      <c r="E290" s="3">
        <v>2170731037</v>
      </c>
      <c r="F290" s="3" t="s">
        <v>17</v>
      </c>
      <c r="G290" s="3" t="s">
        <v>18</v>
      </c>
      <c r="H290" s="3" t="s">
        <v>19</v>
      </c>
      <c r="I290" s="3" t="s">
        <v>20</v>
      </c>
      <c r="J290" s="3" t="s">
        <v>427</v>
      </c>
      <c r="K290" s="3" t="s">
        <v>77</v>
      </c>
      <c r="L290" s="4">
        <v>0.4284722222222222</v>
      </c>
      <c r="M290" s="3" t="s">
        <v>428</v>
      </c>
      <c r="N290" s="3" t="s">
        <v>24</v>
      </c>
      <c r="O290" s="3" t="s">
        <v>25</v>
      </c>
    </row>
    <row r="291" spans="1:15">
      <c r="A291" s="3" t="s">
        <v>15</v>
      </c>
      <c r="B291" s="3" t="str">
        <f>"FES1162739663"</f>
        <v>FES1162739663</v>
      </c>
      <c r="C291" s="3" t="s">
        <v>22</v>
      </c>
      <c r="D291" s="3">
        <v>1</v>
      </c>
      <c r="E291" s="3">
        <v>2170730840</v>
      </c>
      <c r="F291" s="3" t="s">
        <v>17</v>
      </c>
      <c r="G291" s="3" t="s">
        <v>18</v>
      </c>
      <c r="H291" s="3" t="s">
        <v>19</v>
      </c>
      <c r="I291" s="3" t="s">
        <v>51</v>
      </c>
      <c r="J291" s="3" t="s">
        <v>429</v>
      </c>
      <c r="K291" s="3" t="s">
        <v>77</v>
      </c>
      <c r="L291" s="4">
        <v>0.4284722222222222</v>
      </c>
      <c r="M291" s="3" t="s">
        <v>430</v>
      </c>
      <c r="N291" s="3" t="s">
        <v>24</v>
      </c>
      <c r="O291" s="3" t="s">
        <v>25</v>
      </c>
    </row>
    <row r="292" spans="1:15">
      <c r="A292" s="3" t="s">
        <v>15</v>
      </c>
      <c r="B292" s="3" t="str">
        <f>"FES1162739594"</f>
        <v>FES1162739594</v>
      </c>
      <c r="C292" s="3" t="s">
        <v>22</v>
      </c>
      <c r="D292" s="3">
        <v>1</v>
      </c>
      <c r="E292" s="3">
        <v>2170731305</v>
      </c>
      <c r="F292" s="3" t="s">
        <v>17</v>
      </c>
      <c r="G292" s="3" t="s">
        <v>18</v>
      </c>
      <c r="H292" s="3" t="s">
        <v>40</v>
      </c>
      <c r="I292" s="3" t="s">
        <v>431</v>
      </c>
      <c r="J292" s="3" t="s">
        <v>432</v>
      </c>
      <c r="K292" s="3" t="s">
        <v>77</v>
      </c>
      <c r="L292" s="4">
        <v>0.40833333333333338</v>
      </c>
      <c r="M292" s="3" t="s">
        <v>433</v>
      </c>
      <c r="N292" s="3" t="s">
        <v>24</v>
      </c>
      <c r="O292" s="3" t="s">
        <v>25</v>
      </c>
    </row>
    <row r="293" spans="1:15">
      <c r="A293" s="3" t="s">
        <v>15</v>
      </c>
      <c r="B293" s="3" t="str">
        <f>"FES1162739603"</f>
        <v>FES1162739603</v>
      </c>
      <c r="C293" s="3" t="s">
        <v>22</v>
      </c>
      <c r="D293" s="3">
        <v>1</v>
      </c>
      <c r="E293" s="3">
        <v>2170731317</v>
      </c>
      <c r="F293" s="3" t="s">
        <v>17</v>
      </c>
      <c r="G293" s="3" t="s">
        <v>18</v>
      </c>
      <c r="H293" s="3" t="s">
        <v>66</v>
      </c>
      <c r="I293" s="3" t="s">
        <v>67</v>
      </c>
      <c r="J293" s="3" t="s">
        <v>166</v>
      </c>
      <c r="K293" s="3" t="s">
        <v>77</v>
      </c>
      <c r="L293" s="4">
        <v>0.34583333333333338</v>
      </c>
      <c r="M293" s="3" t="s">
        <v>167</v>
      </c>
      <c r="N293" s="3" t="s">
        <v>24</v>
      </c>
      <c r="O293" s="3" t="s">
        <v>25</v>
      </c>
    </row>
    <row r="294" spans="1:15">
      <c r="A294" s="3" t="s">
        <v>15</v>
      </c>
      <c r="B294" s="3" t="str">
        <f>"FES1162739679"</f>
        <v>FES1162739679</v>
      </c>
      <c r="C294" s="3" t="s">
        <v>22</v>
      </c>
      <c r="D294" s="3">
        <v>1</v>
      </c>
      <c r="E294" s="3">
        <v>2170731048</v>
      </c>
      <c r="F294" s="3" t="s">
        <v>17</v>
      </c>
      <c r="G294" s="3" t="s">
        <v>18</v>
      </c>
      <c r="H294" s="3" t="s">
        <v>36</v>
      </c>
      <c r="I294" s="3" t="s">
        <v>37</v>
      </c>
      <c r="J294" s="3" t="s">
        <v>434</v>
      </c>
      <c r="K294" s="3" t="s">
        <v>77</v>
      </c>
      <c r="L294" s="4">
        <v>0.33611111111111108</v>
      </c>
      <c r="M294" s="3" t="s">
        <v>435</v>
      </c>
      <c r="N294" s="3" t="s">
        <v>24</v>
      </c>
      <c r="O294" s="3" t="s">
        <v>25</v>
      </c>
    </row>
    <row r="295" spans="1:15">
      <c r="A295" s="3" t="s">
        <v>15</v>
      </c>
      <c r="B295" s="3" t="str">
        <f>"FES1162739688"</f>
        <v>FES1162739688</v>
      </c>
      <c r="C295" s="3" t="s">
        <v>22</v>
      </c>
      <c r="D295" s="3">
        <v>0</v>
      </c>
      <c r="E295" s="3">
        <v>2170731260</v>
      </c>
      <c r="F295" s="3" t="s">
        <v>17</v>
      </c>
      <c r="G295" s="3" t="s">
        <v>18</v>
      </c>
      <c r="H295" s="3" t="s">
        <v>18</v>
      </c>
      <c r="I295" s="3" t="s">
        <v>29</v>
      </c>
      <c r="J295" s="3" t="s">
        <v>436</v>
      </c>
      <c r="K295" s="3" t="s">
        <v>77</v>
      </c>
      <c r="L295" s="4">
        <v>0.41666666666666669</v>
      </c>
      <c r="M295" s="3" t="s">
        <v>437</v>
      </c>
      <c r="N295" s="3" t="s">
        <v>24</v>
      </c>
      <c r="O295" s="3" t="s">
        <v>25</v>
      </c>
    </row>
    <row r="296" spans="1:15">
      <c r="A296" s="3" t="s">
        <v>15</v>
      </c>
      <c r="B296" s="3" t="str">
        <f>"FES1162739632"</f>
        <v>FES1162739632</v>
      </c>
      <c r="C296" s="3" t="s">
        <v>22</v>
      </c>
      <c r="D296" s="3">
        <v>0</v>
      </c>
      <c r="E296" s="3">
        <v>2170729465</v>
      </c>
      <c r="F296" s="3" t="s">
        <v>17</v>
      </c>
      <c r="G296" s="3" t="s">
        <v>18</v>
      </c>
      <c r="H296" s="3" t="s">
        <v>36</v>
      </c>
      <c r="I296" s="3" t="s">
        <v>37</v>
      </c>
      <c r="J296" s="3" t="s">
        <v>438</v>
      </c>
      <c r="K296" s="3" t="s">
        <v>77</v>
      </c>
      <c r="L296" s="4">
        <v>0.35000000000000003</v>
      </c>
      <c r="M296" s="3" t="s">
        <v>439</v>
      </c>
      <c r="N296" s="3" t="s">
        <v>24</v>
      </c>
      <c r="O296" s="3" t="s">
        <v>25</v>
      </c>
    </row>
    <row r="297" spans="1:15">
      <c r="A297" s="3" t="s">
        <v>15</v>
      </c>
      <c r="B297" s="3" t="str">
        <f>"FES1162739635"</f>
        <v>FES1162739635</v>
      </c>
      <c r="C297" s="3" t="s">
        <v>22</v>
      </c>
      <c r="D297" s="3">
        <v>0</v>
      </c>
      <c r="E297" s="3">
        <v>2170730209</v>
      </c>
      <c r="F297" s="3" t="s">
        <v>17</v>
      </c>
      <c r="G297" s="3" t="s">
        <v>18</v>
      </c>
      <c r="H297" s="3" t="s">
        <v>100</v>
      </c>
      <c r="I297" s="3" t="s">
        <v>262</v>
      </c>
      <c r="J297" s="3" t="s">
        <v>409</v>
      </c>
      <c r="K297" s="3" t="s">
        <v>410</v>
      </c>
      <c r="L297" s="4">
        <v>0.35486111111111113</v>
      </c>
      <c r="M297" s="3" t="s">
        <v>411</v>
      </c>
      <c r="N297" s="3" t="s">
        <v>24</v>
      </c>
      <c r="O297" s="3" t="s">
        <v>25</v>
      </c>
    </row>
    <row r="298" spans="1:15">
      <c r="A298" s="5" t="s">
        <v>15</v>
      </c>
      <c r="B298" s="5" t="str">
        <f>"FES1162739642"</f>
        <v>FES1162739642</v>
      </c>
      <c r="C298" s="5" t="s">
        <v>22</v>
      </c>
      <c r="D298" s="5">
        <v>0</v>
      </c>
      <c r="E298" s="5">
        <v>2170730366</v>
      </c>
      <c r="F298" s="5" t="s">
        <v>17</v>
      </c>
      <c r="G298" s="5" t="s">
        <v>18</v>
      </c>
      <c r="H298" s="5" t="s">
        <v>70</v>
      </c>
      <c r="I298" s="5" t="s">
        <v>71</v>
      </c>
      <c r="J298" s="5" t="s">
        <v>392</v>
      </c>
      <c r="K298" s="5" t="s">
        <v>77</v>
      </c>
      <c r="L298" s="6">
        <v>0.62083333333333335</v>
      </c>
      <c r="M298" s="5" t="s">
        <v>440</v>
      </c>
      <c r="N298" s="5" t="s">
        <v>24</v>
      </c>
      <c r="O298" s="5" t="s">
        <v>25</v>
      </c>
    </row>
    <row r="299" spans="1:15">
      <c r="A299" s="5" t="s">
        <v>15</v>
      </c>
      <c r="B299" s="5" t="str">
        <f>"FES1162739664"</f>
        <v>FES1162739664</v>
      </c>
      <c r="C299" s="5" t="s">
        <v>22</v>
      </c>
      <c r="D299" s="5">
        <v>0</v>
      </c>
      <c r="E299" s="5">
        <v>2170730845</v>
      </c>
      <c r="F299" s="5" t="s">
        <v>17</v>
      </c>
      <c r="G299" s="5" t="s">
        <v>18</v>
      </c>
      <c r="H299" s="5" t="s">
        <v>70</v>
      </c>
      <c r="I299" s="5" t="s">
        <v>71</v>
      </c>
      <c r="J299" s="5" t="s">
        <v>441</v>
      </c>
      <c r="K299" s="5" t="s">
        <v>77</v>
      </c>
      <c r="L299" s="6">
        <v>0.62083333333333335</v>
      </c>
      <c r="M299" s="5" t="s">
        <v>440</v>
      </c>
      <c r="N299" s="5" t="s">
        <v>24</v>
      </c>
      <c r="O299" s="5" t="s">
        <v>25</v>
      </c>
    </row>
    <row r="300" spans="1:15">
      <c r="A300" s="5" t="s">
        <v>15</v>
      </c>
      <c r="B300" s="5" t="str">
        <f>"FES1162739698"</f>
        <v>FES1162739698</v>
      </c>
      <c r="C300" s="5" t="s">
        <v>22</v>
      </c>
      <c r="D300" s="5">
        <v>0</v>
      </c>
      <c r="E300" s="5">
        <v>2170731326</v>
      </c>
      <c r="F300" s="5" t="s">
        <v>17</v>
      </c>
      <c r="G300" s="5" t="s">
        <v>18</v>
      </c>
      <c r="H300" s="5" t="s">
        <v>66</v>
      </c>
      <c r="I300" s="5" t="s">
        <v>67</v>
      </c>
      <c r="J300" s="5" t="s">
        <v>278</v>
      </c>
      <c r="K300" s="5" t="s">
        <v>77</v>
      </c>
      <c r="L300" s="6">
        <v>0.38194444444444442</v>
      </c>
      <c r="M300" s="5" t="s">
        <v>442</v>
      </c>
      <c r="N300" s="5" t="s">
        <v>24</v>
      </c>
      <c r="O300" s="5" t="s">
        <v>25</v>
      </c>
    </row>
    <row r="301" spans="1:15">
      <c r="A301" s="5" t="s">
        <v>15</v>
      </c>
      <c r="B301" s="5" t="str">
        <f>"FES1162739623"</f>
        <v>FES1162739623</v>
      </c>
      <c r="C301" s="5" t="s">
        <v>22</v>
      </c>
      <c r="D301" s="5">
        <v>0</v>
      </c>
      <c r="E301" s="5">
        <v>2170728950</v>
      </c>
      <c r="F301" s="5" t="s">
        <v>17</v>
      </c>
      <c r="G301" s="5" t="s">
        <v>18</v>
      </c>
      <c r="H301" s="5" t="s">
        <v>100</v>
      </c>
      <c r="I301" s="5" t="s">
        <v>262</v>
      </c>
      <c r="J301" s="5" t="s">
        <v>263</v>
      </c>
      <c r="K301" s="5" t="s">
        <v>77</v>
      </c>
      <c r="L301" s="6">
        <v>0.38194444444444442</v>
      </c>
      <c r="M301" s="5" t="s">
        <v>443</v>
      </c>
      <c r="N301" s="5" t="s">
        <v>24</v>
      </c>
      <c r="O301" s="5" t="s">
        <v>373</v>
      </c>
    </row>
    <row r="302" spans="1:15">
      <c r="A302" s="5" t="s">
        <v>15</v>
      </c>
      <c r="B302" s="5" t="str">
        <f>"FES1162739602"</f>
        <v>FES1162739602</v>
      </c>
      <c r="C302" s="5" t="s">
        <v>22</v>
      </c>
      <c r="D302" s="5">
        <v>0</v>
      </c>
      <c r="E302" s="5">
        <v>2170731316</v>
      </c>
      <c r="F302" s="5" t="s">
        <v>17</v>
      </c>
      <c r="G302" s="5" t="s">
        <v>18</v>
      </c>
      <c r="H302" s="5" t="s">
        <v>18</v>
      </c>
      <c r="I302" s="5" t="s">
        <v>33</v>
      </c>
      <c r="J302" s="5" t="s">
        <v>34</v>
      </c>
      <c r="K302" s="5" t="s">
        <v>77</v>
      </c>
      <c r="L302" s="6">
        <v>0.39097222222222222</v>
      </c>
      <c r="M302" s="5" t="s">
        <v>444</v>
      </c>
      <c r="N302" s="5" t="s">
        <v>24</v>
      </c>
      <c r="O302" s="5" t="s">
        <v>25</v>
      </c>
    </row>
    <row r="303" spans="1:15">
      <c r="A303" s="5" t="s">
        <v>15</v>
      </c>
      <c r="B303" s="5" t="str">
        <f>"FES1162739629"</f>
        <v>FES1162739629</v>
      </c>
      <c r="C303" s="5" t="s">
        <v>22</v>
      </c>
      <c r="D303" s="5">
        <v>0</v>
      </c>
      <c r="E303" s="5">
        <v>2170729323</v>
      </c>
      <c r="F303" s="5" t="s">
        <v>17</v>
      </c>
      <c r="G303" s="5" t="s">
        <v>18</v>
      </c>
      <c r="H303" s="5" t="s">
        <v>18</v>
      </c>
      <c r="I303" s="5" t="s">
        <v>380</v>
      </c>
      <c r="J303" s="5" t="s">
        <v>278</v>
      </c>
      <c r="K303" s="5" t="s">
        <v>77</v>
      </c>
      <c r="L303" s="6">
        <v>0.38263888888888892</v>
      </c>
      <c r="M303" s="5" t="s">
        <v>381</v>
      </c>
      <c r="N303" s="5" t="s">
        <v>24</v>
      </c>
      <c r="O303" s="5" t="s">
        <v>25</v>
      </c>
    </row>
    <row r="304" spans="1:15">
      <c r="A304" s="3" t="s">
        <v>15</v>
      </c>
      <c r="B304" s="3" t="str">
        <f>"FES1162739693"</f>
        <v>FES1162739693</v>
      </c>
      <c r="C304" s="3" t="s">
        <v>22</v>
      </c>
      <c r="D304" s="3">
        <v>0</v>
      </c>
      <c r="E304" s="3">
        <v>2170731304</v>
      </c>
      <c r="F304" s="3" t="s">
        <v>17</v>
      </c>
      <c r="G304" s="3" t="s">
        <v>18</v>
      </c>
      <c r="H304" s="3" t="s">
        <v>18</v>
      </c>
      <c r="I304" s="3" t="s">
        <v>171</v>
      </c>
      <c r="J304" s="3" t="s">
        <v>189</v>
      </c>
      <c r="K304" s="3" t="s">
        <v>77</v>
      </c>
      <c r="L304" s="4">
        <v>0.36388888888888887</v>
      </c>
      <c r="M304" s="3" t="s">
        <v>412</v>
      </c>
      <c r="N304" s="3" t="s">
        <v>24</v>
      </c>
      <c r="O304" s="3" t="s">
        <v>25</v>
      </c>
    </row>
    <row r="305" spans="1:15">
      <c r="A305" s="7" t="s">
        <v>15</v>
      </c>
      <c r="B305" s="7" t="str">
        <f>"FES1162739650"</f>
        <v>FES1162739650</v>
      </c>
      <c r="C305" s="7" t="s">
        <v>22</v>
      </c>
      <c r="D305" s="7">
        <v>0</v>
      </c>
      <c r="E305" s="7">
        <v>2170730574</v>
      </c>
      <c r="F305" s="7" t="s">
        <v>17</v>
      </c>
      <c r="G305" s="7" t="s">
        <v>18</v>
      </c>
      <c r="H305" s="7" t="s">
        <v>19</v>
      </c>
      <c r="I305" s="7" t="s">
        <v>445</v>
      </c>
      <c r="J305" s="7" t="s">
        <v>446</v>
      </c>
      <c r="K305" s="7" t="s">
        <v>447</v>
      </c>
      <c r="L305" s="7"/>
      <c r="M305" s="7" t="s">
        <v>448</v>
      </c>
      <c r="N305" s="7" t="s">
        <v>449</v>
      </c>
      <c r="O305" s="7" t="s">
        <v>450</v>
      </c>
    </row>
    <row r="306" spans="1:15">
      <c r="A306" s="3" t="s">
        <v>15</v>
      </c>
      <c r="B306" s="3" t="str">
        <f>"FES1162739662"</f>
        <v>FES1162739662</v>
      </c>
      <c r="C306" s="3" t="s">
        <v>22</v>
      </c>
      <c r="D306" s="3">
        <v>0</v>
      </c>
      <c r="E306" s="3">
        <v>2170730838</v>
      </c>
      <c r="F306" s="3" t="s">
        <v>17</v>
      </c>
      <c r="G306" s="3" t="s">
        <v>18</v>
      </c>
      <c r="H306" s="3" t="s">
        <v>100</v>
      </c>
      <c r="I306" s="3" t="s">
        <v>262</v>
      </c>
      <c r="J306" s="3" t="s">
        <v>409</v>
      </c>
      <c r="K306" s="3" t="s">
        <v>410</v>
      </c>
      <c r="L306" s="4">
        <v>0.35486111111111113</v>
      </c>
      <c r="M306" s="3" t="s">
        <v>411</v>
      </c>
      <c r="N306" s="3" t="s">
        <v>24</v>
      </c>
      <c r="O306" s="3" t="s">
        <v>25</v>
      </c>
    </row>
    <row r="307" spans="1:15">
      <c r="A307" s="3" t="s">
        <v>15</v>
      </c>
      <c r="B307" s="3" t="str">
        <f>"FES1162739724"</f>
        <v>FES1162739724</v>
      </c>
      <c r="C307" s="3" t="s">
        <v>22</v>
      </c>
      <c r="D307" s="3">
        <v>0</v>
      </c>
      <c r="E307" s="3">
        <v>2170731364</v>
      </c>
      <c r="F307" s="3" t="s">
        <v>17</v>
      </c>
      <c r="G307" s="3" t="s">
        <v>18</v>
      </c>
      <c r="H307" s="3" t="s">
        <v>36</v>
      </c>
      <c r="I307" s="3" t="s">
        <v>174</v>
      </c>
      <c r="J307" s="3" t="s">
        <v>451</v>
      </c>
      <c r="K307" s="3" t="s">
        <v>77</v>
      </c>
      <c r="L307" s="4">
        <v>0.33680555555555558</v>
      </c>
      <c r="M307" s="3" t="s">
        <v>452</v>
      </c>
      <c r="N307" s="3" t="s">
        <v>24</v>
      </c>
      <c r="O307" s="3" t="s">
        <v>25</v>
      </c>
    </row>
    <row r="308" spans="1:15">
      <c r="A308" s="3" t="s">
        <v>15</v>
      </c>
      <c r="B308" s="3" t="str">
        <f>"FES1162739644"</f>
        <v>FES1162739644</v>
      </c>
      <c r="C308" s="3" t="s">
        <v>22</v>
      </c>
      <c r="D308" s="3">
        <v>0</v>
      </c>
      <c r="E308" s="3">
        <v>2170730391</v>
      </c>
      <c r="F308" s="3" t="s">
        <v>17</v>
      </c>
      <c r="G308" s="3" t="s">
        <v>18</v>
      </c>
      <c r="H308" s="3" t="s">
        <v>70</v>
      </c>
      <c r="I308" s="3" t="s">
        <v>71</v>
      </c>
      <c r="J308" s="3" t="s">
        <v>392</v>
      </c>
      <c r="K308" s="3" t="s">
        <v>77</v>
      </c>
      <c r="L308" s="4">
        <v>0.57361111111111118</v>
      </c>
      <c r="M308" s="3" t="s">
        <v>393</v>
      </c>
      <c r="N308" s="3" t="s">
        <v>24</v>
      </c>
      <c r="O308" s="3" t="s">
        <v>25</v>
      </c>
    </row>
    <row r="309" spans="1:15">
      <c r="A309" s="3" t="s">
        <v>15</v>
      </c>
      <c r="B309" s="3" t="str">
        <f>"FES1162739670"</f>
        <v>FES1162739670</v>
      </c>
      <c r="C309" s="3" t="s">
        <v>22</v>
      </c>
      <c r="D309" s="3">
        <v>0</v>
      </c>
      <c r="E309" s="3">
        <v>2170730937</v>
      </c>
      <c r="F309" s="3" t="s">
        <v>17</v>
      </c>
      <c r="G309" s="3" t="s">
        <v>18</v>
      </c>
      <c r="H309" s="3" t="s">
        <v>100</v>
      </c>
      <c r="I309" s="3" t="s">
        <v>262</v>
      </c>
      <c r="J309" s="3" t="s">
        <v>409</v>
      </c>
      <c r="K309" s="3" t="s">
        <v>410</v>
      </c>
      <c r="L309" s="4">
        <v>0.35486111111111113</v>
      </c>
      <c r="M309" s="3" t="s">
        <v>411</v>
      </c>
      <c r="N309" s="3" t="s">
        <v>24</v>
      </c>
      <c r="O309" s="3" t="s">
        <v>25</v>
      </c>
    </row>
    <row r="310" spans="1:15">
      <c r="A310" s="3" t="s">
        <v>15</v>
      </c>
      <c r="B310" s="3" t="str">
        <f>"FES1162739680"</f>
        <v>FES1162739680</v>
      </c>
      <c r="C310" s="3" t="s">
        <v>22</v>
      </c>
      <c r="D310" s="3">
        <v>0</v>
      </c>
      <c r="E310" s="3">
        <v>2170731053</v>
      </c>
      <c r="F310" s="3" t="s">
        <v>17</v>
      </c>
      <c r="G310" s="3" t="s">
        <v>18</v>
      </c>
      <c r="H310" s="3" t="s">
        <v>18</v>
      </c>
      <c r="I310" s="3" t="s">
        <v>453</v>
      </c>
      <c r="J310" s="3" t="s">
        <v>454</v>
      </c>
      <c r="K310" s="3" t="s">
        <v>77</v>
      </c>
      <c r="L310" s="4">
        <v>0.33333333333333331</v>
      </c>
      <c r="M310" s="3" t="s">
        <v>455</v>
      </c>
      <c r="N310" s="3" t="s">
        <v>24</v>
      </c>
      <c r="O310" s="3" t="s">
        <v>25</v>
      </c>
    </row>
    <row r="311" spans="1:15">
      <c r="A311" s="3" t="s">
        <v>15</v>
      </c>
      <c r="B311" s="3" t="str">
        <f>"FES1162739641"</f>
        <v>FES1162739641</v>
      </c>
      <c r="C311" s="3" t="s">
        <v>22</v>
      </c>
      <c r="D311" s="3">
        <v>0</v>
      </c>
      <c r="E311" s="3">
        <v>2170730353</v>
      </c>
      <c r="F311" s="3" t="s">
        <v>17</v>
      </c>
      <c r="G311" s="3" t="s">
        <v>18</v>
      </c>
      <c r="H311" s="3" t="s">
        <v>19</v>
      </c>
      <c r="I311" s="3" t="s">
        <v>20</v>
      </c>
      <c r="J311" s="3" t="s">
        <v>104</v>
      </c>
      <c r="K311" s="3" t="s">
        <v>77</v>
      </c>
      <c r="L311" s="4">
        <v>0.42222222222222222</v>
      </c>
      <c r="M311" s="3" t="s">
        <v>105</v>
      </c>
      <c r="N311" s="3" t="s">
        <v>24</v>
      </c>
      <c r="O311" s="3" t="s">
        <v>25</v>
      </c>
    </row>
    <row r="312" spans="1:15">
      <c r="A312" s="3" t="s">
        <v>15</v>
      </c>
      <c r="B312" s="3" t="str">
        <f>"FES1162739682"</f>
        <v>FES1162739682</v>
      </c>
      <c r="C312" s="3" t="s">
        <v>22</v>
      </c>
      <c r="D312" s="3">
        <v>0</v>
      </c>
      <c r="E312" s="3">
        <v>2170731083</v>
      </c>
      <c r="F312" s="3" t="s">
        <v>17</v>
      </c>
      <c r="G312" s="3" t="s">
        <v>18</v>
      </c>
      <c r="H312" s="3" t="s">
        <v>18</v>
      </c>
      <c r="I312" s="3" t="s">
        <v>29</v>
      </c>
      <c r="J312" s="3" t="s">
        <v>456</v>
      </c>
      <c r="K312" s="3" t="s">
        <v>77</v>
      </c>
      <c r="L312" s="4">
        <v>0.34375</v>
      </c>
      <c r="M312" s="3" t="s">
        <v>457</v>
      </c>
      <c r="N312" s="3" t="s">
        <v>24</v>
      </c>
      <c r="O312" s="3" t="s">
        <v>25</v>
      </c>
    </row>
    <row r="313" spans="1:15">
      <c r="A313" s="3" t="s">
        <v>15</v>
      </c>
      <c r="B313" s="3" t="str">
        <f>"FES1162739655"</f>
        <v>FES1162739655</v>
      </c>
      <c r="C313" s="3" t="s">
        <v>22</v>
      </c>
      <c r="D313" s="3">
        <v>0</v>
      </c>
      <c r="E313" s="3">
        <v>2170730711</v>
      </c>
      <c r="F313" s="3" t="s">
        <v>17</v>
      </c>
      <c r="G313" s="3" t="s">
        <v>18</v>
      </c>
      <c r="H313" s="3" t="s">
        <v>100</v>
      </c>
      <c r="I313" s="3" t="s">
        <v>117</v>
      </c>
      <c r="J313" s="3" t="s">
        <v>335</v>
      </c>
      <c r="K313" s="3" t="s">
        <v>77</v>
      </c>
      <c r="L313" s="4">
        <v>0.50277777777777777</v>
      </c>
      <c r="M313" s="3" t="s">
        <v>336</v>
      </c>
      <c r="N313" s="3" t="s">
        <v>24</v>
      </c>
      <c r="O313" s="3" t="s">
        <v>25</v>
      </c>
    </row>
    <row r="314" spans="1:15">
      <c r="A314" s="3" t="s">
        <v>15</v>
      </c>
      <c r="B314" s="3" t="str">
        <f>"FES1162739717"</f>
        <v>FES1162739717</v>
      </c>
      <c r="C314" s="3" t="s">
        <v>22</v>
      </c>
      <c r="D314" s="3">
        <v>0</v>
      </c>
      <c r="E314" s="3">
        <v>2170728250</v>
      </c>
      <c r="F314" s="3" t="s">
        <v>17</v>
      </c>
      <c r="G314" s="3" t="s">
        <v>18</v>
      </c>
      <c r="H314" s="3" t="s">
        <v>18</v>
      </c>
      <c r="I314" s="3" t="s">
        <v>151</v>
      </c>
      <c r="J314" s="3" t="s">
        <v>407</v>
      </c>
      <c r="K314" s="3" t="s">
        <v>77</v>
      </c>
      <c r="L314" s="4">
        <v>0.48819444444444443</v>
      </c>
      <c r="M314" s="3" t="s">
        <v>408</v>
      </c>
      <c r="N314" s="3" t="s">
        <v>24</v>
      </c>
      <c r="O314" s="3" t="s">
        <v>25</v>
      </c>
    </row>
    <row r="315" spans="1:15">
      <c r="A315" s="3" t="s">
        <v>15</v>
      </c>
      <c r="B315" s="3" t="str">
        <f>"FES1162739649"</f>
        <v>FES1162739649</v>
      </c>
      <c r="C315" s="3" t="s">
        <v>22</v>
      </c>
      <c r="D315" s="3">
        <v>0</v>
      </c>
      <c r="E315" s="3">
        <v>2170730498</v>
      </c>
      <c r="F315" s="3" t="s">
        <v>17</v>
      </c>
      <c r="G315" s="3" t="s">
        <v>18</v>
      </c>
      <c r="H315" s="3" t="s">
        <v>100</v>
      </c>
      <c r="I315" s="3" t="s">
        <v>117</v>
      </c>
      <c r="J315" s="3" t="s">
        <v>335</v>
      </c>
      <c r="K315" s="3" t="s">
        <v>77</v>
      </c>
      <c r="L315" s="4">
        <v>0.50277777777777777</v>
      </c>
      <c r="M315" s="3" t="s">
        <v>336</v>
      </c>
      <c r="N315" s="3" t="s">
        <v>24</v>
      </c>
      <c r="O315" s="3" t="s">
        <v>25</v>
      </c>
    </row>
    <row r="316" spans="1:15">
      <c r="A316" s="3" t="s">
        <v>15</v>
      </c>
      <c r="B316" s="3" t="str">
        <f>"FES1162739708"</f>
        <v>FES1162739708</v>
      </c>
      <c r="C316" s="3" t="s">
        <v>22</v>
      </c>
      <c r="D316" s="3">
        <v>0</v>
      </c>
      <c r="E316" s="3">
        <v>2170731347</v>
      </c>
      <c r="F316" s="3" t="s">
        <v>17</v>
      </c>
      <c r="G316" s="3" t="s">
        <v>18</v>
      </c>
      <c r="H316" s="3" t="s">
        <v>19</v>
      </c>
      <c r="I316" s="3" t="s">
        <v>51</v>
      </c>
      <c r="J316" s="3" t="s">
        <v>458</v>
      </c>
      <c r="K316" s="3" t="s">
        <v>77</v>
      </c>
      <c r="L316" s="4">
        <v>0.41250000000000003</v>
      </c>
      <c r="M316" s="3" t="s">
        <v>412</v>
      </c>
      <c r="N316" s="3" t="s">
        <v>24</v>
      </c>
      <c r="O316" s="3" t="s">
        <v>25</v>
      </c>
    </row>
    <row r="317" spans="1:15">
      <c r="A317" s="3" t="s">
        <v>15</v>
      </c>
      <c r="B317" s="3" t="str">
        <f>"FES1162739669"</f>
        <v>FES1162739669</v>
      </c>
      <c r="C317" s="3" t="s">
        <v>22</v>
      </c>
      <c r="D317" s="3">
        <v>0</v>
      </c>
      <c r="E317" s="3">
        <v>2170730918</v>
      </c>
      <c r="F317" s="3" t="s">
        <v>17</v>
      </c>
      <c r="G317" s="3" t="s">
        <v>18</v>
      </c>
      <c r="H317" s="3" t="s">
        <v>70</v>
      </c>
      <c r="I317" s="3" t="s">
        <v>71</v>
      </c>
      <c r="J317" s="3" t="s">
        <v>459</v>
      </c>
      <c r="K317" s="3" t="s">
        <v>77</v>
      </c>
      <c r="L317" s="4">
        <v>0.3840277777777778</v>
      </c>
      <c r="M317" s="3" t="s">
        <v>460</v>
      </c>
      <c r="N317" s="3" t="s">
        <v>24</v>
      </c>
      <c r="O317" s="3" t="s">
        <v>25</v>
      </c>
    </row>
    <row r="318" spans="1:15">
      <c r="A318" s="3" t="s">
        <v>15</v>
      </c>
      <c r="B318" s="3" t="str">
        <f>"FES1162739689"</f>
        <v>FES1162739689</v>
      </c>
      <c r="C318" s="3" t="s">
        <v>22</v>
      </c>
      <c r="D318" s="3">
        <v>0</v>
      </c>
      <c r="E318" s="3">
        <v>2170731273</v>
      </c>
      <c r="F318" s="3" t="s">
        <v>17</v>
      </c>
      <c r="G318" s="3" t="s">
        <v>18</v>
      </c>
      <c r="H318" s="3" t="s">
        <v>19</v>
      </c>
      <c r="I318" s="3" t="s">
        <v>20</v>
      </c>
      <c r="J318" s="3" t="s">
        <v>420</v>
      </c>
      <c r="K318" s="3" t="s">
        <v>77</v>
      </c>
      <c r="L318" s="4">
        <v>0.3659722222222222</v>
      </c>
      <c r="M318" s="3" t="s">
        <v>421</v>
      </c>
      <c r="N318" s="3" t="s">
        <v>24</v>
      </c>
      <c r="O318" s="3" t="s">
        <v>25</v>
      </c>
    </row>
    <row r="319" spans="1:15">
      <c r="A319" s="5" t="s">
        <v>15</v>
      </c>
      <c r="B319" s="5" t="str">
        <f>"FES1162739620"</f>
        <v>FES1162739620</v>
      </c>
      <c r="C319" s="5" t="s">
        <v>22</v>
      </c>
      <c r="D319" s="5">
        <v>0</v>
      </c>
      <c r="E319" s="5">
        <v>2170728521</v>
      </c>
      <c r="F319" s="5" t="s">
        <v>17</v>
      </c>
      <c r="G319" s="5" t="s">
        <v>18</v>
      </c>
      <c r="H319" s="5" t="s">
        <v>18</v>
      </c>
      <c r="I319" s="5" t="s">
        <v>171</v>
      </c>
      <c r="J319" s="5" t="s">
        <v>204</v>
      </c>
      <c r="K319" s="5" t="s">
        <v>77</v>
      </c>
      <c r="L319" s="6">
        <v>0.41666666666666669</v>
      </c>
      <c r="M319" s="5" t="s">
        <v>461</v>
      </c>
      <c r="N319" s="5" t="s">
        <v>24</v>
      </c>
      <c r="O319" s="5" t="s">
        <v>25</v>
      </c>
    </row>
    <row r="320" spans="1:15">
      <c r="A320" s="5" t="s">
        <v>15</v>
      </c>
      <c r="B320" s="5" t="str">
        <f>"FES1162739657"</f>
        <v>FES1162739657</v>
      </c>
      <c r="C320" s="5" t="s">
        <v>22</v>
      </c>
      <c r="D320" s="5">
        <v>0</v>
      </c>
      <c r="E320" s="5">
        <v>2170730718</v>
      </c>
      <c r="F320" s="5" t="s">
        <v>17</v>
      </c>
      <c r="G320" s="5" t="s">
        <v>18</v>
      </c>
      <c r="H320" s="5" t="s">
        <v>19</v>
      </c>
      <c r="I320" s="5" t="s">
        <v>20</v>
      </c>
      <c r="J320" s="5" t="s">
        <v>104</v>
      </c>
      <c r="K320" s="5" t="s">
        <v>77</v>
      </c>
      <c r="L320" s="6">
        <v>0.42222222222222222</v>
      </c>
      <c r="M320" s="5" t="s">
        <v>105</v>
      </c>
      <c r="N320" s="5" t="s">
        <v>24</v>
      </c>
      <c r="O320" s="5" t="s">
        <v>25</v>
      </c>
    </row>
    <row r="321" spans="1:15">
      <c r="A321" s="5" t="s">
        <v>15</v>
      </c>
      <c r="B321" s="8" t="s">
        <v>462</v>
      </c>
      <c r="C321" s="5" t="s">
        <v>22</v>
      </c>
      <c r="D321" s="5">
        <v>1</v>
      </c>
      <c r="E321" s="5">
        <v>1162736912</v>
      </c>
      <c r="F321" s="5" t="s">
        <v>17</v>
      </c>
      <c r="G321" s="5" t="s">
        <v>18</v>
      </c>
      <c r="H321" s="5" t="s">
        <v>36</v>
      </c>
      <c r="I321" s="5" t="s">
        <v>174</v>
      </c>
      <c r="J321" s="5" t="s">
        <v>175</v>
      </c>
      <c r="K321" s="5" t="s">
        <v>77</v>
      </c>
      <c r="L321" s="6">
        <v>0.42222222222222222</v>
      </c>
      <c r="M321" s="5" t="s">
        <v>463</v>
      </c>
      <c r="N321" s="5" t="s">
        <v>24</v>
      </c>
      <c r="O321" s="5" t="s">
        <v>464</v>
      </c>
    </row>
    <row r="322" spans="1:15">
      <c r="A322" s="5" t="s">
        <v>15</v>
      </c>
      <c r="B322" s="5" t="str">
        <f>"FES1162739684"</f>
        <v>FES1162739684</v>
      </c>
      <c r="C322" s="5" t="s">
        <v>22</v>
      </c>
      <c r="D322" s="5">
        <v>0</v>
      </c>
      <c r="E322" s="5">
        <v>2170731204</v>
      </c>
      <c r="F322" s="5" t="s">
        <v>17</v>
      </c>
      <c r="G322" s="5" t="s">
        <v>18</v>
      </c>
      <c r="H322" s="5" t="s">
        <v>70</v>
      </c>
      <c r="I322" s="5" t="s">
        <v>71</v>
      </c>
      <c r="J322" s="5" t="s">
        <v>392</v>
      </c>
      <c r="K322" s="5" t="s">
        <v>77</v>
      </c>
      <c r="L322" s="6">
        <v>0.62083333333333335</v>
      </c>
      <c r="M322" s="5" t="s">
        <v>440</v>
      </c>
      <c r="N322" s="5" t="s">
        <v>24</v>
      </c>
      <c r="O322" s="5" t="s">
        <v>25</v>
      </c>
    </row>
    <row r="323" spans="1:15">
      <c r="A323" s="5" t="s">
        <v>15</v>
      </c>
      <c r="B323" s="5" t="str">
        <f>"FES1162739605"</f>
        <v>FES1162739605</v>
      </c>
      <c r="C323" s="5" t="s">
        <v>22</v>
      </c>
      <c r="D323" s="5">
        <v>0</v>
      </c>
      <c r="E323" s="5">
        <v>2170724184</v>
      </c>
      <c r="F323" s="5" t="s">
        <v>17</v>
      </c>
      <c r="G323" s="5" t="s">
        <v>18</v>
      </c>
      <c r="H323" s="5" t="s">
        <v>18</v>
      </c>
      <c r="I323" s="5" t="s">
        <v>29</v>
      </c>
      <c r="J323" s="5" t="s">
        <v>465</v>
      </c>
      <c r="K323" s="5" t="s">
        <v>77</v>
      </c>
      <c r="L323" s="6">
        <v>0.39930555555555558</v>
      </c>
      <c r="M323" s="5" t="s">
        <v>466</v>
      </c>
      <c r="N323" s="5" t="s">
        <v>24</v>
      </c>
      <c r="O323" s="5" t="s">
        <v>25</v>
      </c>
    </row>
    <row r="324" spans="1:15">
      <c r="A324" s="5" t="s">
        <v>15</v>
      </c>
      <c r="B324" s="5" t="str">
        <f>"FES1162739705"</f>
        <v>FES1162739705</v>
      </c>
      <c r="C324" s="5" t="s">
        <v>22</v>
      </c>
      <c r="D324" s="5">
        <v>0</v>
      </c>
      <c r="E324" s="5">
        <v>2170731341</v>
      </c>
      <c r="F324" s="5" t="s">
        <v>17</v>
      </c>
      <c r="G324" s="5" t="s">
        <v>18</v>
      </c>
      <c r="H324" s="5" t="s">
        <v>18</v>
      </c>
      <c r="I324" s="5" t="s">
        <v>163</v>
      </c>
      <c r="J324" s="5" t="s">
        <v>164</v>
      </c>
      <c r="K324" s="5" t="s">
        <v>77</v>
      </c>
      <c r="L324" s="6">
        <v>0.43472222222222223</v>
      </c>
      <c r="M324" s="5" t="s">
        <v>165</v>
      </c>
      <c r="N324" s="5" t="s">
        <v>24</v>
      </c>
      <c r="O324" s="5" t="s">
        <v>25</v>
      </c>
    </row>
    <row r="325" spans="1:15">
      <c r="A325" s="5" t="s">
        <v>15</v>
      </c>
      <c r="B325" s="5" t="str">
        <f>"FES1162739627"</f>
        <v>FES1162739627</v>
      </c>
      <c r="C325" s="5" t="s">
        <v>22</v>
      </c>
      <c r="D325" s="5">
        <v>0</v>
      </c>
      <c r="E325" s="5">
        <v>2170729202</v>
      </c>
      <c r="F325" s="5" t="s">
        <v>17</v>
      </c>
      <c r="G325" s="5" t="s">
        <v>18</v>
      </c>
      <c r="H325" s="5" t="s">
        <v>18</v>
      </c>
      <c r="I325" s="5" t="s">
        <v>380</v>
      </c>
      <c r="J325" s="5" t="s">
        <v>278</v>
      </c>
      <c r="K325" s="5" t="s">
        <v>77</v>
      </c>
      <c r="L325" s="6">
        <v>0.38263888888888892</v>
      </c>
      <c r="M325" s="5" t="s">
        <v>381</v>
      </c>
      <c r="N325" s="5" t="s">
        <v>24</v>
      </c>
      <c r="O325" s="5" t="s">
        <v>25</v>
      </c>
    </row>
    <row r="326" spans="1:15">
      <c r="A326" s="5" t="s">
        <v>15</v>
      </c>
      <c r="B326" s="5" t="str">
        <f>"FES1162739463"</f>
        <v>FES1162739463</v>
      </c>
      <c r="C326" s="5" t="s">
        <v>22</v>
      </c>
      <c r="D326" s="5">
        <v>0</v>
      </c>
      <c r="E326" s="5">
        <v>2170731144</v>
      </c>
      <c r="F326" s="5" t="s">
        <v>17</v>
      </c>
      <c r="G326" s="5" t="s">
        <v>18</v>
      </c>
      <c r="H326" s="5" t="s">
        <v>18</v>
      </c>
      <c r="I326" s="5" t="s">
        <v>309</v>
      </c>
      <c r="J326" s="5" t="s">
        <v>467</v>
      </c>
      <c r="K326" s="5" t="s">
        <v>77</v>
      </c>
      <c r="L326" s="6">
        <v>0.3034722222222222</v>
      </c>
      <c r="M326" s="5" t="s">
        <v>468</v>
      </c>
      <c r="N326" s="5" t="s">
        <v>24</v>
      </c>
      <c r="O326" s="5" t="s">
        <v>25</v>
      </c>
    </row>
    <row r="327" spans="1:15">
      <c r="A327" s="5" t="s">
        <v>15</v>
      </c>
      <c r="B327" s="5" t="str">
        <f>"FES1162739690"</f>
        <v>FES1162739690</v>
      </c>
      <c r="C327" s="5" t="s">
        <v>22</v>
      </c>
      <c r="D327" s="5">
        <v>0</v>
      </c>
      <c r="E327" s="5">
        <v>2170731283</v>
      </c>
      <c r="F327" s="5" t="s">
        <v>17</v>
      </c>
      <c r="G327" s="5" t="s">
        <v>18</v>
      </c>
      <c r="H327" s="5" t="s">
        <v>19</v>
      </c>
      <c r="I327" s="5" t="s">
        <v>95</v>
      </c>
      <c r="J327" s="5" t="s">
        <v>96</v>
      </c>
      <c r="K327" s="5" t="s">
        <v>77</v>
      </c>
      <c r="L327" s="6">
        <v>0.46180555555555558</v>
      </c>
      <c r="M327" s="5" t="s">
        <v>268</v>
      </c>
      <c r="N327" s="5" t="s">
        <v>24</v>
      </c>
      <c r="O327" s="5" t="s">
        <v>25</v>
      </c>
    </row>
    <row r="328" spans="1:15">
      <c r="A328" s="3" t="s">
        <v>15</v>
      </c>
      <c r="B328" s="3" t="str">
        <f>"FES1162739718"</f>
        <v>FES1162739718</v>
      </c>
      <c r="C328" s="3" t="s">
        <v>22</v>
      </c>
      <c r="D328" s="3">
        <v>0</v>
      </c>
      <c r="E328" s="3">
        <v>2170731357</v>
      </c>
      <c r="F328" s="3" t="s">
        <v>17</v>
      </c>
      <c r="G328" s="3" t="s">
        <v>18</v>
      </c>
      <c r="H328" s="3" t="s">
        <v>18</v>
      </c>
      <c r="I328" s="3" t="s">
        <v>168</v>
      </c>
      <c r="J328" s="3" t="s">
        <v>469</v>
      </c>
      <c r="K328" s="3" t="s">
        <v>77</v>
      </c>
      <c r="L328" s="4">
        <v>0.375</v>
      </c>
      <c r="M328" s="3" t="s">
        <v>470</v>
      </c>
      <c r="N328" s="3" t="s">
        <v>24</v>
      </c>
      <c r="O328" s="3" t="s">
        <v>25</v>
      </c>
    </row>
    <row r="329" spans="1:15">
      <c r="A329" s="3" t="s">
        <v>15</v>
      </c>
      <c r="B329" s="3" t="str">
        <f>"FES1162739601"</f>
        <v>FES1162739601</v>
      </c>
      <c r="C329" s="3" t="s">
        <v>22</v>
      </c>
      <c r="D329" s="3">
        <v>0</v>
      </c>
      <c r="E329" s="3">
        <v>2170731314</v>
      </c>
      <c r="F329" s="3" t="s">
        <v>17</v>
      </c>
      <c r="G329" s="3" t="s">
        <v>18</v>
      </c>
      <c r="H329" s="3" t="s">
        <v>18</v>
      </c>
      <c r="I329" s="3" t="s">
        <v>33</v>
      </c>
      <c r="J329" s="3" t="s">
        <v>471</v>
      </c>
      <c r="K329" s="3" t="s">
        <v>77</v>
      </c>
      <c r="L329" s="4">
        <v>0.40277777777777773</v>
      </c>
      <c r="M329" s="3" t="s">
        <v>472</v>
      </c>
      <c r="N329" s="3" t="s">
        <v>24</v>
      </c>
      <c r="O329" s="3" t="s">
        <v>25</v>
      </c>
    </row>
    <row r="330" spans="1:15">
      <c r="A330" s="3" t="s">
        <v>15</v>
      </c>
      <c r="B330" s="3" t="str">
        <f>"FES1162739625"</f>
        <v>FES1162739625</v>
      </c>
      <c r="C330" s="3" t="s">
        <v>22</v>
      </c>
      <c r="D330" s="3">
        <v>0</v>
      </c>
      <c r="E330" s="3">
        <v>2170729172</v>
      </c>
      <c r="F330" s="3" t="s">
        <v>17</v>
      </c>
      <c r="G330" s="3" t="s">
        <v>18</v>
      </c>
      <c r="H330" s="3" t="s">
        <v>18</v>
      </c>
      <c r="I330" s="3" t="s">
        <v>291</v>
      </c>
      <c r="J330" s="3" t="s">
        <v>473</v>
      </c>
      <c r="K330" s="3" t="s">
        <v>77</v>
      </c>
      <c r="L330" s="4">
        <v>0.33333333333333331</v>
      </c>
      <c r="M330" s="3" t="s">
        <v>474</v>
      </c>
      <c r="N330" s="3" t="s">
        <v>24</v>
      </c>
      <c r="O330" s="3" t="s">
        <v>25</v>
      </c>
    </row>
    <row r="331" spans="1:15">
      <c r="A331" s="3" t="s">
        <v>15</v>
      </c>
      <c r="B331" s="3" t="str">
        <f>"FES1162739561"</f>
        <v>FES1162739561</v>
      </c>
      <c r="C331" s="3" t="s">
        <v>22</v>
      </c>
      <c r="D331" s="3">
        <v>1</v>
      </c>
      <c r="E331" s="3" t="s">
        <v>25</v>
      </c>
      <c r="F331" s="3" t="s">
        <v>17</v>
      </c>
      <c r="G331" s="3" t="s">
        <v>18</v>
      </c>
      <c r="H331" s="3" t="s">
        <v>18</v>
      </c>
      <c r="I331" s="3" t="s">
        <v>338</v>
      </c>
      <c r="J331" s="3" t="s">
        <v>475</v>
      </c>
      <c r="K331" s="3" t="s">
        <v>77</v>
      </c>
      <c r="L331" s="4">
        <v>0.33333333333333331</v>
      </c>
      <c r="M331" s="3" t="s">
        <v>476</v>
      </c>
      <c r="N331" s="3" t="s">
        <v>24</v>
      </c>
      <c r="O331" s="3" t="s">
        <v>25</v>
      </c>
    </row>
    <row r="332" spans="1:15">
      <c r="A332" s="3" t="s">
        <v>15</v>
      </c>
      <c r="B332" s="3" t="str">
        <f>"FES1162739609"</f>
        <v>FES1162739609</v>
      </c>
      <c r="C332" s="3" t="s">
        <v>22</v>
      </c>
      <c r="D332" s="3">
        <v>1</v>
      </c>
      <c r="E332" s="3">
        <v>2170730946</v>
      </c>
      <c r="F332" s="3" t="s">
        <v>214</v>
      </c>
      <c r="G332" s="3" t="s">
        <v>18</v>
      </c>
      <c r="H332" s="3" t="s">
        <v>18</v>
      </c>
      <c r="I332" s="3" t="s">
        <v>171</v>
      </c>
      <c r="J332" s="3" t="s">
        <v>477</v>
      </c>
      <c r="K332" s="3" t="s">
        <v>77</v>
      </c>
      <c r="L332" s="4">
        <v>0.53611111111111109</v>
      </c>
      <c r="M332" s="3" t="s">
        <v>478</v>
      </c>
      <c r="N332" s="3" t="s">
        <v>24</v>
      </c>
      <c r="O332" s="3" t="s">
        <v>25</v>
      </c>
    </row>
    <row r="333" spans="1:15">
      <c r="A333" s="3" t="s">
        <v>15</v>
      </c>
      <c r="B333" s="3" t="str">
        <f>"FES1162739661"</f>
        <v>FES1162739661</v>
      </c>
      <c r="C333" s="3" t="s">
        <v>22</v>
      </c>
      <c r="D333" s="3">
        <v>1</v>
      </c>
      <c r="E333" s="3">
        <v>2170730829</v>
      </c>
      <c r="F333" s="3" t="s">
        <v>17</v>
      </c>
      <c r="G333" s="3" t="s">
        <v>18</v>
      </c>
      <c r="H333" s="3" t="s">
        <v>18</v>
      </c>
      <c r="I333" s="3" t="s">
        <v>168</v>
      </c>
      <c r="J333" s="3" t="s">
        <v>479</v>
      </c>
      <c r="K333" s="3" t="s">
        <v>77</v>
      </c>
      <c r="L333" s="4">
        <v>0.375</v>
      </c>
      <c r="M333" s="3" t="s">
        <v>480</v>
      </c>
      <c r="N333" s="3" t="s">
        <v>24</v>
      </c>
      <c r="O333" s="3" t="s">
        <v>25</v>
      </c>
    </row>
    <row r="334" spans="1:15">
      <c r="A334" s="3" t="s">
        <v>15</v>
      </c>
      <c r="B334" s="3" t="str">
        <f>"FES1162739700"</f>
        <v>FES1162739700</v>
      </c>
      <c r="C334" s="3" t="s">
        <v>22</v>
      </c>
      <c r="D334" s="3">
        <v>1</v>
      </c>
      <c r="E334" s="3">
        <v>2170731329</v>
      </c>
      <c r="F334" s="3" t="s">
        <v>17</v>
      </c>
      <c r="G334" s="3" t="s">
        <v>18</v>
      </c>
      <c r="H334" s="3" t="s">
        <v>46</v>
      </c>
      <c r="I334" s="3" t="s">
        <v>47</v>
      </c>
      <c r="J334" s="3" t="s">
        <v>481</v>
      </c>
      <c r="K334" s="3" t="s">
        <v>77</v>
      </c>
      <c r="L334" s="4">
        <v>0.43333333333333335</v>
      </c>
      <c r="M334" s="3" t="s">
        <v>482</v>
      </c>
      <c r="N334" s="3" t="s">
        <v>24</v>
      </c>
      <c r="O334" s="3" t="s">
        <v>25</v>
      </c>
    </row>
    <row r="335" spans="1:15">
      <c r="A335" s="3" t="s">
        <v>15</v>
      </c>
      <c r="B335" s="3" t="str">
        <f>"FES1162739723"</f>
        <v>FES1162739723</v>
      </c>
      <c r="C335" s="3" t="s">
        <v>22</v>
      </c>
      <c r="D335" s="3">
        <v>1</v>
      </c>
      <c r="E335" s="3">
        <v>2170731266</v>
      </c>
      <c r="F335" s="3" t="s">
        <v>17</v>
      </c>
      <c r="G335" s="3" t="s">
        <v>18</v>
      </c>
      <c r="H335" s="3" t="s">
        <v>36</v>
      </c>
      <c r="I335" s="3" t="s">
        <v>37</v>
      </c>
      <c r="J335" s="3" t="s">
        <v>483</v>
      </c>
      <c r="K335" s="3" t="s">
        <v>77</v>
      </c>
      <c r="L335" s="4">
        <v>0.34722222222222227</v>
      </c>
      <c r="M335" s="3" t="s">
        <v>484</v>
      </c>
      <c r="N335" s="3" t="s">
        <v>24</v>
      </c>
      <c r="O335" s="3" t="s">
        <v>25</v>
      </c>
    </row>
    <row r="336" spans="1:15">
      <c r="A336" s="3" t="s">
        <v>15</v>
      </c>
      <c r="B336" s="3" t="str">
        <f>"FES1162739624"</f>
        <v>FES1162739624</v>
      </c>
      <c r="C336" s="3" t="s">
        <v>22</v>
      </c>
      <c r="D336" s="3">
        <v>1</v>
      </c>
      <c r="E336" s="3">
        <v>2170728962</v>
      </c>
      <c r="F336" s="3" t="s">
        <v>17</v>
      </c>
      <c r="G336" s="3" t="s">
        <v>18</v>
      </c>
      <c r="H336" s="3" t="s">
        <v>66</v>
      </c>
      <c r="I336" s="3" t="s">
        <v>67</v>
      </c>
      <c r="J336" s="3" t="s">
        <v>485</v>
      </c>
      <c r="K336" s="3" t="s">
        <v>77</v>
      </c>
      <c r="L336" s="4">
        <v>0.35069444444444442</v>
      </c>
      <c r="M336" s="3" t="s">
        <v>486</v>
      </c>
      <c r="N336" s="3" t="s">
        <v>24</v>
      </c>
      <c r="O336" s="3" t="s">
        <v>25</v>
      </c>
    </row>
    <row r="337" spans="1:15">
      <c r="A337" s="3" t="s">
        <v>15</v>
      </c>
      <c r="B337" s="3" t="str">
        <f>"FES1162739701"</f>
        <v>FES1162739701</v>
      </c>
      <c r="C337" s="3" t="s">
        <v>22</v>
      </c>
      <c r="D337" s="3">
        <v>1</v>
      </c>
      <c r="E337" s="3">
        <v>2170731336</v>
      </c>
      <c r="F337" s="3" t="s">
        <v>17</v>
      </c>
      <c r="G337" s="3" t="s">
        <v>18</v>
      </c>
      <c r="H337" s="3" t="s">
        <v>18</v>
      </c>
      <c r="I337" s="3" t="s">
        <v>29</v>
      </c>
      <c r="J337" s="3" t="s">
        <v>487</v>
      </c>
      <c r="K337" s="3" t="s">
        <v>77</v>
      </c>
      <c r="L337" s="4">
        <v>0.4375</v>
      </c>
      <c r="M337" s="3" t="s">
        <v>488</v>
      </c>
      <c r="N337" s="3" t="s">
        <v>24</v>
      </c>
      <c r="O337" s="3" t="s">
        <v>25</v>
      </c>
    </row>
    <row r="338" spans="1:15">
      <c r="A338" s="5" t="s">
        <v>15</v>
      </c>
      <c r="B338" s="5" t="str">
        <f>"FES1162739667"</f>
        <v>FES1162739667</v>
      </c>
      <c r="C338" s="5" t="s">
        <v>22</v>
      </c>
      <c r="D338" s="5">
        <v>1</v>
      </c>
      <c r="E338" s="5">
        <v>2170730894</v>
      </c>
      <c r="F338" s="5" t="s">
        <v>17</v>
      </c>
      <c r="G338" s="5" t="s">
        <v>18</v>
      </c>
      <c r="H338" s="5" t="s">
        <v>100</v>
      </c>
      <c r="I338" s="5" t="s">
        <v>155</v>
      </c>
      <c r="J338" s="5" t="s">
        <v>489</v>
      </c>
      <c r="K338" s="5" t="s">
        <v>77</v>
      </c>
      <c r="L338" s="6">
        <v>0.44861111111111113</v>
      </c>
      <c r="M338" s="5" t="s">
        <v>490</v>
      </c>
      <c r="N338" s="5" t="s">
        <v>24</v>
      </c>
      <c r="O338" s="5" t="s">
        <v>25</v>
      </c>
    </row>
    <row r="339" spans="1:15">
      <c r="A339" s="5" t="s">
        <v>15</v>
      </c>
      <c r="B339" s="5" t="str">
        <f>"FES1162739598"</f>
        <v>FES1162739598</v>
      </c>
      <c r="C339" s="5" t="s">
        <v>22</v>
      </c>
      <c r="D339" s="5">
        <v>1</v>
      </c>
      <c r="E339" s="5">
        <v>2170731310</v>
      </c>
      <c r="F339" s="5" t="s">
        <v>17</v>
      </c>
      <c r="G339" s="5" t="s">
        <v>18</v>
      </c>
      <c r="H339" s="5" t="s">
        <v>18</v>
      </c>
      <c r="I339" s="5" t="s">
        <v>33</v>
      </c>
      <c r="J339" s="5" t="s">
        <v>34</v>
      </c>
      <c r="K339" s="5" t="s">
        <v>77</v>
      </c>
      <c r="L339" s="6">
        <v>0.39374999999999999</v>
      </c>
      <c r="M339" s="5" t="s">
        <v>35</v>
      </c>
      <c r="N339" s="5" t="s">
        <v>24</v>
      </c>
      <c r="O339" s="5" t="s">
        <v>25</v>
      </c>
    </row>
    <row r="340" spans="1:15">
      <c r="A340" s="5" t="s">
        <v>15</v>
      </c>
      <c r="B340" s="5" t="str">
        <f>"FES1162739585"</f>
        <v>FES1162739585</v>
      </c>
      <c r="C340" s="5" t="s">
        <v>22</v>
      </c>
      <c r="D340" s="5">
        <v>2</v>
      </c>
      <c r="E340" s="5">
        <v>2170728790</v>
      </c>
      <c r="F340" s="5" t="s">
        <v>17</v>
      </c>
      <c r="G340" s="5" t="s">
        <v>18</v>
      </c>
      <c r="H340" s="5" t="s">
        <v>18</v>
      </c>
      <c r="I340" s="5" t="s">
        <v>171</v>
      </c>
      <c r="J340" s="5" t="s">
        <v>415</v>
      </c>
      <c r="K340" s="5" t="s">
        <v>77</v>
      </c>
      <c r="L340" s="6">
        <v>0.40347222222222223</v>
      </c>
      <c r="M340" s="5" t="s">
        <v>416</v>
      </c>
      <c r="N340" s="5" t="s">
        <v>24</v>
      </c>
      <c r="O340" s="5" t="s">
        <v>25</v>
      </c>
    </row>
    <row r="341" spans="1:15">
      <c r="A341" s="5" t="s">
        <v>15</v>
      </c>
      <c r="B341" s="5" t="str">
        <f>"FES1162739618"</f>
        <v>FES1162739618</v>
      </c>
      <c r="C341" s="5" t="s">
        <v>22</v>
      </c>
      <c r="D341" s="5">
        <v>1</v>
      </c>
      <c r="E341" s="5">
        <v>2170728122</v>
      </c>
      <c r="F341" s="5" t="s">
        <v>17</v>
      </c>
      <c r="G341" s="5" t="s">
        <v>18</v>
      </c>
      <c r="H341" s="5" t="s">
        <v>100</v>
      </c>
      <c r="I341" s="5" t="s">
        <v>262</v>
      </c>
      <c r="J341" s="5" t="s">
        <v>263</v>
      </c>
      <c r="K341" s="5" t="s">
        <v>77</v>
      </c>
      <c r="L341" s="6">
        <v>0.40347222222222223</v>
      </c>
      <c r="M341" s="5" t="s">
        <v>372</v>
      </c>
      <c r="N341" s="5" t="s">
        <v>24</v>
      </c>
      <c r="O341" s="5" t="s">
        <v>373</v>
      </c>
    </row>
    <row r="342" spans="1:15">
      <c r="A342" s="5" t="s">
        <v>15</v>
      </c>
      <c r="B342" s="5" t="str">
        <f>"FES1162739634"</f>
        <v>FES1162739634</v>
      </c>
      <c r="C342" s="5" t="s">
        <v>22</v>
      </c>
      <c r="D342" s="5">
        <v>1</v>
      </c>
      <c r="E342" s="5">
        <v>2170729896</v>
      </c>
      <c r="F342" s="5" t="s">
        <v>17</v>
      </c>
      <c r="G342" s="5" t="s">
        <v>18</v>
      </c>
      <c r="H342" s="5" t="s">
        <v>100</v>
      </c>
      <c r="I342" s="5" t="s">
        <v>101</v>
      </c>
      <c r="J342" s="5" t="s">
        <v>491</v>
      </c>
      <c r="K342" s="5" t="s">
        <v>77</v>
      </c>
      <c r="L342" s="6">
        <v>0.36388888888888887</v>
      </c>
      <c r="M342" s="5" t="s">
        <v>492</v>
      </c>
      <c r="N342" s="5" t="s">
        <v>24</v>
      </c>
      <c r="O342" s="5" t="s">
        <v>25</v>
      </c>
    </row>
    <row r="343" spans="1:15">
      <c r="A343" s="5" t="s">
        <v>15</v>
      </c>
      <c r="B343" s="5" t="str">
        <f>"FES1162739697"</f>
        <v>FES1162739697</v>
      </c>
      <c r="C343" s="5" t="s">
        <v>22</v>
      </c>
      <c r="D343" s="5">
        <v>1</v>
      </c>
      <c r="E343" s="5">
        <v>2170731325</v>
      </c>
      <c r="F343" s="5" t="s">
        <v>17</v>
      </c>
      <c r="G343" s="5" t="s">
        <v>18</v>
      </c>
      <c r="H343" s="5" t="s">
        <v>36</v>
      </c>
      <c r="I343" s="5" t="s">
        <v>37</v>
      </c>
      <c r="J343" s="5" t="s">
        <v>187</v>
      </c>
      <c r="K343" s="5" t="s">
        <v>77</v>
      </c>
      <c r="L343" s="6">
        <v>0.33680555555555558</v>
      </c>
      <c r="M343" s="5" t="s">
        <v>188</v>
      </c>
      <c r="N343" s="5" t="s">
        <v>24</v>
      </c>
      <c r="O343" s="5" t="s">
        <v>25</v>
      </c>
    </row>
    <row r="344" spans="1:15">
      <c r="A344" s="5" t="s">
        <v>15</v>
      </c>
      <c r="B344" s="5" t="str">
        <f>"FES1162739406"</f>
        <v>FES1162739406</v>
      </c>
      <c r="C344" s="5" t="s">
        <v>22</v>
      </c>
      <c r="D344" s="5">
        <v>1</v>
      </c>
      <c r="E344" s="5">
        <v>2170731077</v>
      </c>
      <c r="F344" s="5" t="s">
        <v>17</v>
      </c>
      <c r="G344" s="5" t="s">
        <v>18</v>
      </c>
      <c r="H344" s="5" t="s">
        <v>18</v>
      </c>
      <c r="I344" s="5" t="s">
        <v>33</v>
      </c>
      <c r="J344" s="5" t="s">
        <v>34</v>
      </c>
      <c r="K344" s="5" t="s">
        <v>77</v>
      </c>
      <c r="L344" s="6">
        <v>0.3923611111111111</v>
      </c>
      <c r="M344" s="5" t="s">
        <v>444</v>
      </c>
      <c r="N344" s="5" t="s">
        <v>24</v>
      </c>
      <c r="O344" s="5" t="s">
        <v>25</v>
      </c>
    </row>
    <row r="345" spans="1:15">
      <c r="A345" s="3" t="s">
        <v>15</v>
      </c>
      <c r="B345" s="3" t="str">
        <f>"FES1162739638"</f>
        <v>FES1162739638</v>
      </c>
      <c r="C345" s="3" t="s">
        <v>22</v>
      </c>
      <c r="D345" s="3">
        <v>1</v>
      </c>
      <c r="E345" s="3">
        <v>21707303601</v>
      </c>
      <c r="F345" s="3" t="s">
        <v>17</v>
      </c>
      <c r="G345" s="3" t="s">
        <v>18</v>
      </c>
      <c r="H345" s="3" t="s">
        <v>18</v>
      </c>
      <c r="I345" s="3" t="s">
        <v>29</v>
      </c>
      <c r="J345" s="3" t="s">
        <v>493</v>
      </c>
      <c r="K345" s="3" t="s">
        <v>77</v>
      </c>
      <c r="L345" s="4">
        <v>0.29166666666666669</v>
      </c>
      <c r="M345" s="3" t="s">
        <v>494</v>
      </c>
      <c r="N345" s="3" t="s">
        <v>24</v>
      </c>
      <c r="O345" s="3" t="s">
        <v>25</v>
      </c>
    </row>
    <row r="346" spans="1:15">
      <c r="A346" s="3" t="s">
        <v>15</v>
      </c>
      <c r="B346" s="3" t="str">
        <f>"FES1162739745"</f>
        <v>FES1162739745</v>
      </c>
      <c r="C346" s="3" t="s">
        <v>22</v>
      </c>
      <c r="D346" s="3">
        <v>0</v>
      </c>
      <c r="E346" s="3">
        <v>2170731390</v>
      </c>
      <c r="F346" s="3" t="s">
        <v>17</v>
      </c>
      <c r="G346" s="3" t="s">
        <v>18</v>
      </c>
      <c r="H346" s="3" t="s">
        <v>40</v>
      </c>
      <c r="I346" s="3" t="s">
        <v>431</v>
      </c>
      <c r="J346" s="3" t="s">
        <v>495</v>
      </c>
      <c r="K346" s="3" t="s">
        <v>77</v>
      </c>
      <c r="L346" s="4">
        <v>0.43055555555555558</v>
      </c>
      <c r="M346" s="3" t="s">
        <v>496</v>
      </c>
      <c r="N346" s="3" t="s">
        <v>24</v>
      </c>
      <c r="O346" s="3" t="s">
        <v>25</v>
      </c>
    </row>
    <row r="347" spans="1:15">
      <c r="A347" s="3" t="s">
        <v>15</v>
      </c>
      <c r="B347" s="3" t="str">
        <f>"FES1162739685"</f>
        <v>FES1162739685</v>
      </c>
      <c r="C347" s="3" t="s">
        <v>22</v>
      </c>
      <c r="D347" s="3">
        <v>0</v>
      </c>
      <c r="E347" s="3">
        <v>2170731205</v>
      </c>
      <c r="F347" s="3" t="s">
        <v>17</v>
      </c>
      <c r="G347" s="3" t="s">
        <v>18</v>
      </c>
      <c r="H347" s="3" t="s">
        <v>66</v>
      </c>
      <c r="I347" s="3" t="s">
        <v>67</v>
      </c>
      <c r="J347" s="3" t="s">
        <v>298</v>
      </c>
      <c r="K347" s="3" t="s">
        <v>77</v>
      </c>
      <c r="L347" s="4">
        <v>0.36805555555555558</v>
      </c>
      <c r="M347" s="3" t="s">
        <v>299</v>
      </c>
      <c r="N347" s="3" t="s">
        <v>24</v>
      </c>
      <c r="O347" s="3" t="s">
        <v>25</v>
      </c>
    </row>
    <row r="348" spans="1:15">
      <c r="A348" s="5" t="s">
        <v>15</v>
      </c>
      <c r="B348" s="5" t="str">
        <f>"FES1162739732"</f>
        <v>FES1162739732</v>
      </c>
      <c r="C348" s="5" t="s">
        <v>22</v>
      </c>
      <c r="D348" s="5">
        <v>0</v>
      </c>
      <c r="E348" s="5">
        <v>2170731371</v>
      </c>
      <c r="F348" s="5" t="s">
        <v>17</v>
      </c>
      <c r="G348" s="5" t="s">
        <v>18</v>
      </c>
      <c r="H348" s="5" t="s">
        <v>46</v>
      </c>
      <c r="I348" s="5" t="s">
        <v>47</v>
      </c>
      <c r="J348" s="5" t="s">
        <v>497</v>
      </c>
      <c r="K348" s="5" t="s">
        <v>77</v>
      </c>
      <c r="L348" s="6">
        <v>0.43472222222222223</v>
      </c>
      <c r="M348" s="5" t="s">
        <v>498</v>
      </c>
      <c r="N348" s="5" t="s">
        <v>24</v>
      </c>
      <c r="O348" s="5" t="s">
        <v>25</v>
      </c>
    </row>
    <row r="349" spans="1:15">
      <c r="A349" s="5" t="s">
        <v>15</v>
      </c>
      <c r="B349" s="5" t="str">
        <f>"FES1162739646"</f>
        <v>FES1162739646</v>
      </c>
      <c r="C349" s="5" t="s">
        <v>22</v>
      </c>
      <c r="D349" s="5">
        <v>1</v>
      </c>
      <c r="E349" s="5">
        <v>2170730420</v>
      </c>
      <c r="F349" s="5" t="s">
        <v>17</v>
      </c>
      <c r="G349" s="5" t="s">
        <v>18</v>
      </c>
      <c r="H349" s="5" t="s">
        <v>36</v>
      </c>
      <c r="I349" s="5" t="s">
        <v>37</v>
      </c>
      <c r="J349" s="5" t="s">
        <v>42</v>
      </c>
      <c r="K349" s="5" t="s">
        <v>77</v>
      </c>
      <c r="L349" s="6">
        <v>0.37291666666666662</v>
      </c>
      <c r="M349" s="5" t="s">
        <v>499</v>
      </c>
      <c r="N349" s="5" t="s">
        <v>24</v>
      </c>
      <c r="O349" s="5" t="s">
        <v>25</v>
      </c>
    </row>
    <row r="350" spans="1:15">
      <c r="A350" s="5" t="s">
        <v>15</v>
      </c>
      <c r="B350" s="5" t="str">
        <f>"FES1162739640"</f>
        <v>FES1162739640</v>
      </c>
      <c r="C350" s="5" t="s">
        <v>22</v>
      </c>
      <c r="D350" s="5">
        <v>0</v>
      </c>
      <c r="E350" s="5">
        <v>2170730318</v>
      </c>
      <c r="F350" s="5" t="s">
        <v>17</v>
      </c>
      <c r="G350" s="5" t="s">
        <v>18</v>
      </c>
      <c r="H350" s="5" t="s">
        <v>18</v>
      </c>
      <c r="I350" s="5" t="s">
        <v>168</v>
      </c>
      <c r="J350" s="5" t="s">
        <v>500</v>
      </c>
      <c r="K350" s="5" t="s">
        <v>77</v>
      </c>
      <c r="L350" s="6">
        <v>0.39583333333333331</v>
      </c>
      <c r="M350" s="5" t="s">
        <v>501</v>
      </c>
      <c r="N350" s="5" t="s">
        <v>24</v>
      </c>
      <c r="O350" s="5" t="s">
        <v>25</v>
      </c>
    </row>
    <row r="351" spans="1:15">
      <c r="A351" s="5" t="s">
        <v>15</v>
      </c>
      <c r="B351" s="5" t="str">
        <f>"FES1162739654"</f>
        <v>FES1162739654</v>
      </c>
      <c r="C351" s="5" t="s">
        <v>22</v>
      </c>
      <c r="D351" s="5">
        <v>0</v>
      </c>
      <c r="E351" s="5">
        <v>2170730695</v>
      </c>
      <c r="F351" s="5" t="s">
        <v>17</v>
      </c>
      <c r="G351" s="5" t="s">
        <v>18</v>
      </c>
      <c r="H351" s="5" t="s">
        <v>100</v>
      </c>
      <c r="I351" s="5" t="s">
        <v>262</v>
      </c>
      <c r="J351" s="5" t="s">
        <v>263</v>
      </c>
      <c r="K351" s="5" t="s">
        <v>77</v>
      </c>
      <c r="L351" s="6">
        <v>0.39583333333333331</v>
      </c>
      <c r="M351" s="5" t="s">
        <v>374</v>
      </c>
      <c r="N351" s="5" t="s">
        <v>24</v>
      </c>
      <c r="O351" s="5" t="s">
        <v>373</v>
      </c>
    </row>
    <row r="352" spans="1:15">
      <c r="A352" s="5" t="s">
        <v>15</v>
      </c>
      <c r="B352" s="5" t="str">
        <f>"FES1162739651"</f>
        <v>FES1162739651</v>
      </c>
      <c r="C352" s="5" t="s">
        <v>22</v>
      </c>
      <c r="D352" s="5">
        <v>0</v>
      </c>
      <c r="E352" s="5">
        <v>2170730607</v>
      </c>
      <c r="F352" s="5" t="s">
        <v>17</v>
      </c>
      <c r="G352" s="5" t="s">
        <v>18</v>
      </c>
      <c r="H352" s="5" t="s">
        <v>66</v>
      </c>
      <c r="I352" s="5" t="s">
        <v>67</v>
      </c>
      <c r="J352" s="5" t="s">
        <v>68</v>
      </c>
      <c r="K352" s="5" t="s">
        <v>77</v>
      </c>
      <c r="L352" s="6">
        <v>0.37847222222222227</v>
      </c>
      <c r="M352" s="5" t="s">
        <v>502</v>
      </c>
      <c r="N352" s="5" t="s">
        <v>24</v>
      </c>
      <c r="O352" s="5" t="s">
        <v>25</v>
      </c>
    </row>
    <row r="353" spans="1:15">
      <c r="A353" s="5" t="s">
        <v>15</v>
      </c>
      <c r="B353" s="5" t="str">
        <f>"FES1162739681"</f>
        <v>FES1162739681</v>
      </c>
      <c r="C353" s="5" t="s">
        <v>22</v>
      </c>
      <c r="D353" s="5">
        <v>1</v>
      </c>
      <c r="E353" s="5">
        <v>2170731068</v>
      </c>
      <c r="F353" s="5" t="s">
        <v>17</v>
      </c>
      <c r="G353" s="5" t="s">
        <v>18</v>
      </c>
      <c r="H353" s="5" t="s">
        <v>100</v>
      </c>
      <c r="I353" s="5" t="s">
        <v>101</v>
      </c>
      <c r="J353" s="5" t="s">
        <v>142</v>
      </c>
      <c r="K353" s="5" t="s">
        <v>77</v>
      </c>
      <c r="L353" s="6">
        <v>0.3527777777777778</v>
      </c>
      <c r="M353" s="5" t="s">
        <v>143</v>
      </c>
      <c r="N353" s="5" t="s">
        <v>24</v>
      </c>
      <c r="O353" s="5" t="s">
        <v>25</v>
      </c>
    </row>
    <row r="354" spans="1:15">
      <c r="A354" s="5" t="s">
        <v>15</v>
      </c>
      <c r="B354" s="5" t="str">
        <f>"FES1162739801"</f>
        <v>FES1162739801</v>
      </c>
      <c r="C354" s="5" t="s">
        <v>22</v>
      </c>
      <c r="D354" s="5">
        <v>1</v>
      </c>
      <c r="E354" s="5">
        <v>2170730403</v>
      </c>
      <c r="F354" s="5" t="s">
        <v>17</v>
      </c>
      <c r="G354" s="5" t="s">
        <v>18</v>
      </c>
      <c r="H354" s="5" t="s">
        <v>19</v>
      </c>
      <c r="I354" s="5" t="s">
        <v>20</v>
      </c>
      <c r="J354" s="5" t="s">
        <v>503</v>
      </c>
      <c r="K354" s="5" t="s">
        <v>77</v>
      </c>
      <c r="L354" s="6">
        <v>0.38541666666666669</v>
      </c>
      <c r="M354" s="5" t="s">
        <v>504</v>
      </c>
      <c r="N354" s="5" t="s">
        <v>24</v>
      </c>
      <c r="O354" s="5" t="s">
        <v>25</v>
      </c>
    </row>
    <row r="355" spans="1:15">
      <c r="A355" s="5" t="s">
        <v>15</v>
      </c>
      <c r="B355" s="5" t="str">
        <f>"FES1162739707"</f>
        <v>FES1162739707</v>
      </c>
      <c r="C355" s="5" t="s">
        <v>22</v>
      </c>
      <c r="D355" s="5">
        <v>0</v>
      </c>
      <c r="E355" s="5">
        <v>2170731344</v>
      </c>
      <c r="F355" s="5" t="s">
        <v>17</v>
      </c>
      <c r="G355" s="5" t="s">
        <v>18</v>
      </c>
      <c r="H355" s="5" t="s">
        <v>66</v>
      </c>
      <c r="I355" s="5" t="s">
        <v>177</v>
      </c>
      <c r="J355" s="5" t="s">
        <v>505</v>
      </c>
      <c r="K355" s="5" t="s">
        <v>77</v>
      </c>
      <c r="L355" s="6">
        <v>0.50902777777777775</v>
      </c>
      <c r="M355" s="5" t="s">
        <v>506</v>
      </c>
      <c r="N355" s="5" t="s">
        <v>24</v>
      </c>
      <c r="O355" s="5" t="s">
        <v>25</v>
      </c>
    </row>
    <row r="356" spans="1:15">
      <c r="A356" s="5" t="s">
        <v>15</v>
      </c>
      <c r="B356" s="5" t="str">
        <f>"FES1162739751"</f>
        <v>FES1162739751</v>
      </c>
      <c r="C356" s="5" t="s">
        <v>22</v>
      </c>
      <c r="D356" s="5">
        <v>1</v>
      </c>
      <c r="E356" s="5">
        <v>2170731398</v>
      </c>
      <c r="F356" s="5" t="s">
        <v>17</v>
      </c>
      <c r="G356" s="5" t="s">
        <v>18</v>
      </c>
      <c r="H356" s="5" t="s">
        <v>70</v>
      </c>
      <c r="I356" s="5" t="s">
        <v>71</v>
      </c>
      <c r="J356" s="5" t="s">
        <v>422</v>
      </c>
      <c r="K356" s="5" t="s">
        <v>77</v>
      </c>
      <c r="L356" s="6">
        <v>0.41666666666666669</v>
      </c>
      <c r="M356" s="5" t="s">
        <v>423</v>
      </c>
      <c r="N356" s="5" t="s">
        <v>24</v>
      </c>
      <c r="O356" s="5" t="s">
        <v>25</v>
      </c>
    </row>
    <row r="357" spans="1:15">
      <c r="A357" s="3" t="s">
        <v>15</v>
      </c>
      <c r="B357" s="3" t="str">
        <f>"FES1162739799"</f>
        <v>FES1162739799</v>
      </c>
      <c r="C357" s="3" t="s">
        <v>22</v>
      </c>
      <c r="D357" s="3">
        <v>1</v>
      </c>
      <c r="E357" s="3">
        <v>217079489</v>
      </c>
      <c r="F357" s="3" t="s">
        <v>17</v>
      </c>
      <c r="G357" s="3" t="s">
        <v>18</v>
      </c>
      <c r="H357" s="3" t="s">
        <v>70</v>
      </c>
      <c r="I357" s="3" t="s">
        <v>507</v>
      </c>
      <c r="J357" s="3" t="s">
        <v>508</v>
      </c>
      <c r="K357" s="3" t="s">
        <v>77</v>
      </c>
      <c r="L357" s="4">
        <v>0.46736111111111112</v>
      </c>
      <c r="M357" s="3" t="s">
        <v>509</v>
      </c>
      <c r="N357" s="3" t="s">
        <v>24</v>
      </c>
      <c r="O357" s="3" t="s">
        <v>25</v>
      </c>
    </row>
    <row r="358" spans="1:15">
      <c r="A358" s="3" t="s">
        <v>15</v>
      </c>
      <c r="B358" s="3" t="str">
        <f>"FES1162739734"</f>
        <v>FES1162739734</v>
      </c>
      <c r="C358" s="3" t="s">
        <v>22</v>
      </c>
      <c r="D358" s="3">
        <v>1</v>
      </c>
      <c r="E358" s="3">
        <v>2170731376</v>
      </c>
      <c r="F358" s="3" t="s">
        <v>17</v>
      </c>
      <c r="G358" s="3" t="s">
        <v>18</v>
      </c>
      <c r="H358" s="3" t="s">
        <v>70</v>
      </c>
      <c r="I358" s="3" t="s">
        <v>71</v>
      </c>
      <c r="J358" s="3" t="s">
        <v>252</v>
      </c>
      <c r="K358" s="3" t="s">
        <v>77</v>
      </c>
      <c r="L358" s="4">
        <v>0.35069444444444442</v>
      </c>
      <c r="M358" s="3" t="s">
        <v>394</v>
      </c>
      <c r="N358" s="3" t="s">
        <v>24</v>
      </c>
      <c r="O358" s="3" t="s">
        <v>25</v>
      </c>
    </row>
    <row r="359" spans="1:15">
      <c r="A359" s="3" t="s">
        <v>15</v>
      </c>
      <c r="B359" s="3" t="str">
        <f>"FES1162739771"</f>
        <v>FES1162739771</v>
      </c>
      <c r="C359" s="3" t="s">
        <v>22</v>
      </c>
      <c r="D359" s="3">
        <v>1</v>
      </c>
      <c r="E359" s="3">
        <v>2170728617</v>
      </c>
      <c r="F359" s="3" t="s">
        <v>17</v>
      </c>
      <c r="G359" s="3" t="s">
        <v>18</v>
      </c>
      <c r="H359" s="3" t="s">
        <v>19</v>
      </c>
      <c r="I359" s="3" t="s">
        <v>51</v>
      </c>
      <c r="J359" s="3" t="s">
        <v>510</v>
      </c>
      <c r="K359" s="3" t="s">
        <v>77</v>
      </c>
      <c r="L359" s="4">
        <v>0.39861111111111108</v>
      </c>
      <c r="M359" s="3" t="s">
        <v>511</v>
      </c>
      <c r="N359" s="3" t="s">
        <v>24</v>
      </c>
      <c r="O359" s="3" t="s">
        <v>25</v>
      </c>
    </row>
    <row r="360" spans="1:15">
      <c r="A360" s="3" t="s">
        <v>15</v>
      </c>
      <c r="B360" s="3" t="str">
        <f>"FES1162739439"</f>
        <v>FES1162739439</v>
      </c>
      <c r="C360" s="3" t="s">
        <v>22</v>
      </c>
      <c r="D360" s="3">
        <v>2</v>
      </c>
      <c r="E360" s="3">
        <v>2170727726</v>
      </c>
      <c r="F360" s="3" t="s">
        <v>17</v>
      </c>
      <c r="G360" s="3" t="s">
        <v>18</v>
      </c>
      <c r="H360" s="3" t="s">
        <v>100</v>
      </c>
      <c r="I360" s="3" t="s">
        <v>155</v>
      </c>
      <c r="J360" s="3" t="s">
        <v>489</v>
      </c>
      <c r="K360" s="3" t="s">
        <v>77</v>
      </c>
      <c r="L360" s="4">
        <v>0.44861111111111113</v>
      </c>
      <c r="M360" s="3" t="s">
        <v>490</v>
      </c>
      <c r="N360" s="3" t="s">
        <v>24</v>
      </c>
      <c r="O360" s="3" t="s">
        <v>25</v>
      </c>
    </row>
    <row r="361" spans="1:15">
      <c r="A361" s="3" t="s">
        <v>15</v>
      </c>
      <c r="B361" s="3" t="str">
        <f>"FES1162739559"</f>
        <v>FES1162739559</v>
      </c>
      <c r="C361" s="3" t="s">
        <v>22</v>
      </c>
      <c r="D361" s="3">
        <v>0</v>
      </c>
      <c r="E361" s="3">
        <v>2170731270</v>
      </c>
      <c r="F361" s="3" t="s">
        <v>17</v>
      </c>
      <c r="G361" s="3" t="s">
        <v>18</v>
      </c>
      <c r="H361" s="3" t="s">
        <v>18</v>
      </c>
      <c r="I361" s="3" t="s">
        <v>338</v>
      </c>
      <c r="J361" s="3" t="s">
        <v>512</v>
      </c>
      <c r="K361" s="3" t="s">
        <v>77</v>
      </c>
      <c r="L361" s="4">
        <v>0.37152777777777773</v>
      </c>
      <c r="M361" s="3" t="s">
        <v>513</v>
      </c>
      <c r="N361" s="3" t="s">
        <v>24</v>
      </c>
      <c r="O361" s="3" t="s">
        <v>25</v>
      </c>
    </row>
    <row r="362" spans="1:15">
      <c r="A362" s="3" t="s">
        <v>15</v>
      </c>
      <c r="B362" s="3" t="str">
        <f>"FES1162739828"</f>
        <v>FES1162739828</v>
      </c>
      <c r="C362" s="3" t="s">
        <v>22</v>
      </c>
      <c r="D362" s="3">
        <v>1</v>
      </c>
      <c r="E362" s="3">
        <v>217073174</v>
      </c>
      <c r="F362" s="3" t="s">
        <v>17</v>
      </c>
      <c r="G362" s="3" t="s">
        <v>18</v>
      </c>
      <c r="H362" s="3" t="s">
        <v>18</v>
      </c>
      <c r="I362" s="3" t="s">
        <v>29</v>
      </c>
      <c r="J362" s="3" t="s">
        <v>307</v>
      </c>
      <c r="K362" s="3" t="s">
        <v>77</v>
      </c>
      <c r="L362" s="4">
        <v>0.33680555555555558</v>
      </c>
      <c r="M362" s="3" t="s">
        <v>514</v>
      </c>
      <c r="N362" s="3" t="s">
        <v>24</v>
      </c>
      <c r="O362" s="3" t="s">
        <v>25</v>
      </c>
    </row>
    <row r="363" spans="1:15">
      <c r="A363" s="3" t="s">
        <v>15</v>
      </c>
      <c r="B363" s="3" t="str">
        <f>"FES1162739695"</f>
        <v>FES1162739695</v>
      </c>
      <c r="C363" s="3" t="s">
        <v>22</v>
      </c>
      <c r="D363" s="3">
        <v>1</v>
      </c>
      <c r="E363" s="3">
        <v>21707313199</v>
      </c>
      <c r="F363" s="3" t="s">
        <v>17</v>
      </c>
      <c r="G363" s="3" t="s">
        <v>18</v>
      </c>
      <c r="H363" s="3" t="s">
        <v>18</v>
      </c>
      <c r="I363" s="3" t="s">
        <v>184</v>
      </c>
      <c r="J363" s="3" t="s">
        <v>185</v>
      </c>
      <c r="K363" s="3" t="s">
        <v>77</v>
      </c>
      <c r="L363" s="4">
        <v>0.375</v>
      </c>
      <c r="M363" s="3" t="s">
        <v>268</v>
      </c>
      <c r="N363" s="3" t="s">
        <v>24</v>
      </c>
      <c r="O363" s="3" t="s">
        <v>25</v>
      </c>
    </row>
    <row r="364" spans="1:15">
      <c r="A364" s="3" t="s">
        <v>15</v>
      </c>
      <c r="B364" s="3" t="str">
        <f>"FES1162739580"</f>
        <v>FES1162739580</v>
      </c>
      <c r="C364" s="3" t="s">
        <v>22</v>
      </c>
      <c r="D364" s="3">
        <v>1</v>
      </c>
      <c r="E364" s="3">
        <v>2170725099</v>
      </c>
      <c r="F364" s="3" t="s">
        <v>17</v>
      </c>
      <c r="G364" s="3" t="s">
        <v>18</v>
      </c>
      <c r="H364" s="3" t="s">
        <v>100</v>
      </c>
      <c r="I364" s="3" t="s">
        <v>101</v>
      </c>
      <c r="J364" s="3" t="s">
        <v>515</v>
      </c>
      <c r="K364" s="3" t="s">
        <v>77</v>
      </c>
      <c r="L364" s="4">
        <v>0.3743055555555555</v>
      </c>
      <c r="M364" s="3" t="s">
        <v>516</v>
      </c>
      <c r="N364" s="3" t="s">
        <v>24</v>
      </c>
      <c r="O364" s="3" t="s">
        <v>25</v>
      </c>
    </row>
    <row r="365" spans="1:15">
      <c r="A365" s="3" t="s">
        <v>15</v>
      </c>
      <c r="B365" s="3" t="str">
        <f>"FES1162739809"</f>
        <v>FES1162739809</v>
      </c>
      <c r="C365" s="3" t="s">
        <v>22</v>
      </c>
      <c r="D365" s="3">
        <v>2</v>
      </c>
      <c r="E365" s="3">
        <v>2170730013</v>
      </c>
      <c r="F365" s="3" t="s">
        <v>17</v>
      </c>
      <c r="G365" s="3" t="s">
        <v>18</v>
      </c>
      <c r="H365" s="3" t="s">
        <v>100</v>
      </c>
      <c r="I365" s="3" t="s">
        <v>122</v>
      </c>
      <c r="J365" s="3" t="s">
        <v>517</v>
      </c>
      <c r="K365" s="3" t="s">
        <v>77</v>
      </c>
      <c r="L365" s="4">
        <v>0.41666666666666669</v>
      </c>
      <c r="M365" s="3" t="s">
        <v>518</v>
      </c>
      <c r="N365" s="3" t="s">
        <v>24</v>
      </c>
      <c r="O365" s="3" t="s">
        <v>25</v>
      </c>
    </row>
    <row r="366" spans="1:15">
      <c r="A366" s="3" t="s">
        <v>15</v>
      </c>
      <c r="B366" s="3" t="str">
        <f>"FES1162739795"</f>
        <v>FES1162739795</v>
      </c>
      <c r="C366" s="3" t="s">
        <v>22</v>
      </c>
      <c r="D366" s="3">
        <v>1</v>
      </c>
      <c r="E366" s="3">
        <v>2170722685</v>
      </c>
      <c r="F366" s="3" t="s">
        <v>17</v>
      </c>
      <c r="G366" s="3" t="s">
        <v>18</v>
      </c>
      <c r="H366" s="3" t="s">
        <v>100</v>
      </c>
      <c r="I366" s="3" t="s">
        <v>155</v>
      </c>
      <c r="J366" s="3" t="s">
        <v>156</v>
      </c>
      <c r="K366" s="3" t="s">
        <v>77</v>
      </c>
      <c r="L366" s="4">
        <v>0.60486111111111118</v>
      </c>
      <c r="M366" s="3" t="s">
        <v>157</v>
      </c>
      <c r="N366" s="3" t="s">
        <v>24</v>
      </c>
      <c r="O366" s="3" t="s">
        <v>25</v>
      </c>
    </row>
    <row r="367" spans="1:15">
      <c r="A367" s="3" t="s">
        <v>15</v>
      </c>
      <c r="B367" s="3" t="str">
        <f>"FES1162739784"</f>
        <v>FES1162739784</v>
      </c>
      <c r="C367" s="3" t="s">
        <v>22</v>
      </c>
      <c r="D367" s="3">
        <v>1</v>
      </c>
      <c r="E367" s="3">
        <v>2170731436</v>
      </c>
      <c r="F367" s="3" t="s">
        <v>17</v>
      </c>
      <c r="G367" s="3" t="s">
        <v>18</v>
      </c>
      <c r="H367" s="3" t="s">
        <v>18</v>
      </c>
      <c r="I367" s="3" t="s">
        <v>171</v>
      </c>
      <c r="J367" s="3" t="s">
        <v>194</v>
      </c>
      <c r="K367" s="3" t="s">
        <v>77</v>
      </c>
      <c r="L367" s="4">
        <v>0.3840277777777778</v>
      </c>
      <c r="M367" s="3" t="s">
        <v>519</v>
      </c>
      <c r="N367" s="3" t="s">
        <v>24</v>
      </c>
      <c r="O367" s="3" t="s">
        <v>25</v>
      </c>
    </row>
    <row r="368" spans="1:15">
      <c r="A368" s="3" t="s">
        <v>15</v>
      </c>
      <c r="B368" s="3" t="str">
        <f>"FES1162739787"</f>
        <v>FES1162739787</v>
      </c>
      <c r="C368" s="3" t="s">
        <v>22</v>
      </c>
      <c r="D368" s="3">
        <v>1</v>
      </c>
      <c r="E368" s="3">
        <v>2170731426</v>
      </c>
      <c r="F368" s="3" t="s">
        <v>17</v>
      </c>
      <c r="G368" s="3" t="s">
        <v>18</v>
      </c>
      <c r="H368" s="3" t="s">
        <v>18</v>
      </c>
      <c r="I368" s="3" t="s">
        <v>151</v>
      </c>
      <c r="J368" s="3" t="s">
        <v>493</v>
      </c>
      <c r="K368" s="3" t="s">
        <v>77</v>
      </c>
      <c r="L368" s="4">
        <v>0.35972222222222222</v>
      </c>
      <c r="M368" s="3" t="s">
        <v>520</v>
      </c>
      <c r="N368" s="3" t="s">
        <v>24</v>
      </c>
      <c r="O368" s="3" t="s">
        <v>25</v>
      </c>
    </row>
    <row r="369" spans="1:15">
      <c r="A369" s="3" t="s">
        <v>15</v>
      </c>
      <c r="B369" s="3" t="str">
        <f>"FES1162739761"</f>
        <v>FES1162739761</v>
      </c>
      <c r="C369" s="3" t="s">
        <v>22</v>
      </c>
      <c r="D369" s="3">
        <v>1</v>
      </c>
      <c r="E369" s="3">
        <v>2170731407</v>
      </c>
      <c r="F369" s="3" t="s">
        <v>17</v>
      </c>
      <c r="G369" s="3" t="s">
        <v>18</v>
      </c>
      <c r="H369" s="3" t="s">
        <v>18</v>
      </c>
      <c r="I369" s="3" t="s">
        <v>180</v>
      </c>
      <c r="J369" s="3" t="s">
        <v>181</v>
      </c>
      <c r="K369" s="3" t="s">
        <v>77</v>
      </c>
      <c r="L369" s="4">
        <v>0.41666666666666669</v>
      </c>
      <c r="M369" s="3" t="s">
        <v>521</v>
      </c>
      <c r="N369" s="3" t="s">
        <v>24</v>
      </c>
      <c r="O369" s="3" t="s">
        <v>25</v>
      </c>
    </row>
    <row r="370" spans="1:15">
      <c r="A370" s="3" t="s">
        <v>15</v>
      </c>
      <c r="B370" s="3" t="str">
        <f>"FES1162739833"</f>
        <v>FES1162739833</v>
      </c>
      <c r="C370" s="3" t="s">
        <v>22</v>
      </c>
      <c r="D370" s="3">
        <v>1</v>
      </c>
      <c r="E370" s="3">
        <v>2170730648</v>
      </c>
      <c r="F370" s="3" t="s">
        <v>17</v>
      </c>
      <c r="G370" s="3" t="s">
        <v>18</v>
      </c>
      <c r="H370" s="3" t="s">
        <v>18</v>
      </c>
      <c r="I370" s="3" t="s">
        <v>29</v>
      </c>
      <c r="J370" s="3" t="s">
        <v>307</v>
      </c>
      <c r="K370" s="3" t="s">
        <v>77</v>
      </c>
      <c r="L370" s="4">
        <v>0.33333333333333331</v>
      </c>
      <c r="M370" s="3" t="s">
        <v>308</v>
      </c>
      <c r="N370" s="3" t="s">
        <v>24</v>
      </c>
      <c r="O370" s="3" t="s">
        <v>25</v>
      </c>
    </row>
    <row r="371" spans="1:15">
      <c r="A371" s="3" t="s">
        <v>15</v>
      </c>
      <c r="B371" s="3" t="str">
        <f>"FES1162739735"</f>
        <v>FES1162739735</v>
      </c>
      <c r="C371" s="3" t="s">
        <v>22</v>
      </c>
      <c r="D371" s="3">
        <v>1</v>
      </c>
      <c r="E371" s="3">
        <v>2170731346</v>
      </c>
      <c r="F371" s="3" t="s">
        <v>17</v>
      </c>
      <c r="G371" s="3" t="s">
        <v>18</v>
      </c>
      <c r="H371" s="3" t="s">
        <v>100</v>
      </c>
      <c r="I371" s="3" t="s">
        <v>144</v>
      </c>
      <c r="J371" s="3" t="s">
        <v>145</v>
      </c>
      <c r="K371" s="3" t="s">
        <v>77</v>
      </c>
      <c r="L371" s="4">
        <v>0.38958333333333334</v>
      </c>
      <c r="M371" s="3" t="s">
        <v>146</v>
      </c>
      <c r="N371" s="3" t="s">
        <v>24</v>
      </c>
      <c r="O371" s="3" t="s">
        <v>25</v>
      </c>
    </row>
    <row r="372" spans="1:15">
      <c r="A372" s="3" t="s">
        <v>15</v>
      </c>
      <c r="B372" s="3" t="str">
        <f>"FES1162739604"</f>
        <v>FES1162739604</v>
      </c>
      <c r="C372" s="3" t="s">
        <v>22</v>
      </c>
      <c r="D372" s="3">
        <v>1</v>
      </c>
      <c r="E372" s="3">
        <v>2170731320</v>
      </c>
      <c r="F372" s="3" t="s">
        <v>17</v>
      </c>
      <c r="G372" s="3" t="s">
        <v>18</v>
      </c>
      <c r="H372" s="3" t="s">
        <v>18</v>
      </c>
      <c r="I372" s="3" t="s">
        <v>171</v>
      </c>
      <c r="J372" s="3" t="s">
        <v>522</v>
      </c>
      <c r="K372" s="3" t="s">
        <v>77</v>
      </c>
      <c r="L372" s="4">
        <v>0.35069444444444442</v>
      </c>
      <c r="M372" s="3" t="s">
        <v>523</v>
      </c>
      <c r="N372" s="3" t="s">
        <v>24</v>
      </c>
      <c r="O372" s="3" t="s">
        <v>25</v>
      </c>
    </row>
    <row r="373" spans="1:15">
      <c r="A373" s="3" t="s">
        <v>15</v>
      </c>
      <c r="B373" s="3" t="str">
        <f>"FES1162739672"</f>
        <v>FES1162739672</v>
      </c>
      <c r="C373" s="3" t="s">
        <v>22</v>
      </c>
      <c r="D373" s="3">
        <v>1</v>
      </c>
      <c r="E373" s="3">
        <v>2170739640</v>
      </c>
      <c r="F373" s="3" t="s">
        <v>17</v>
      </c>
      <c r="G373" s="3" t="s">
        <v>18</v>
      </c>
      <c r="H373" s="3" t="s">
        <v>36</v>
      </c>
      <c r="I373" s="3" t="s">
        <v>37</v>
      </c>
      <c r="J373" s="3" t="s">
        <v>505</v>
      </c>
      <c r="K373" s="3" t="s">
        <v>77</v>
      </c>
      <c r="L373" s="4">
        <v>0.39444444444444443</v>
      </c>
      <c r="M373" s="3" t="s">
        <v>524</v>
      </c>
      <c r="N373" s="3" t="s">
        <v>24</v>
      </c>
      <c r="O373" s="3" t="s">
        <v>25</v>
      </c>
    </row>
    <row r="374" spans="1:15">
      <c r="A374" s="3" t="s">
        <v>15</v>
      </c>
      <c r="B374" s="3" t="str">
        <f>"FES1162739656"</f>
        <v>FES1162739656</v>
      </c>
      <c r="C374" s="3" t="s">
        <v>22</v>
      </c>
      <c r="D374" s="3">
        <v>1</v>
      </c>
      <c r="E374" s="3">
        <v>2170730717</v>
      </c>
      <c r="F374" s="3" t="s">
        <v>17</v>
      </c>
      <c r="G374" s="3" t="s">
        <v>18</v>
      </c>
      <c r="H374" s="3" t="s">
        <v>18</v>
      </c>
      <c r="I374" s="3" t="s">
        <v>525</v>
      </c>
      <c r="J374" s="3" t="s">
        <v>526</v>
      </c>
      <c r="K374" s="3" t="s">
        <v>77</v>
      </c>
      <c r="L374" s="4">
        <v>0.58333333333333337</v>
      </c>
      <c r="M374" s="3" t="s">
        <v>527</v>
      </c>
      <c r="N374" s="3" t="s">
        <v>24</v>
      </c>
      <c r="O374" s="3" t="s">
        <v>25</v>
      </c>
    </row>
    <row r="375" spans="1:15">
      <c r="A375" s="3" t="s">
        <v>15</v>
      </c>
      <c r="B375" s="3" t="str">
        <f>"009939401263"</f>
        <v>009939401263</v>
      </c>
      <c r="C375" s="3" t="s">
        <v>22</v>
      </c>
      <c r="D375" s="3">
        <v>1</v>
      </c>
      <c r="E375" s="3" t="s">
        <v>25</v>
      </c>
      <c r="F375" s="3" t="s">
        <v>528</v>
      </c>
      <c r="G375" s="3" t="s">
        <v>36</v>
      </c>
      <c r="H375" s="3" t="s">
        <v>18</v>
      </c>
      <c r="I375" s="3" t="s">
        <v>29</v>
      </c>
      <c r="J375" s="3" t="s">
        <v>529</v>
      </c>
      <c r="K375" s="3" t="s">
        <v>77</v>
      </c>
      <c r="L375" s="4">
        <v>0.58333333333333337</v>
      </c>
      <c r="M375" s="3" t="s">
        <v>530</v>
      </c>
      <c r="N375" s="3" t="s">
        <v>24</v>
      </c>
      <c r="O375" s="3" t="s">
        <v>25</v>
      </c>
    </row>
    <row r="376" spans="1:15">
      <c r="A376" s="3" t="s">
        <v>15</v>
      </c>
      <c r="B376" s="3" t="str">
        <f>"FES1162739781"</f>
        <v>FES1162739781</v>
      </c>
      <c r="C376" s="3" t="s">
        <v>22</v>
      </c>
      <c r="D376" s="3">
        <v>0</v>
      </c>
      <c r="E376" s="3">
        <v>2170731433</v>
      </c>
      <c r="F376" s="3" t="s">
        <v>17</v>
      </c>
      <c r="G376" s="3" t="s">
        <v>18</v>
      </c>
      <c r="H376" s="3" t="s">
        <v>70</v>
      </c>
      <c r="I376" s="3" t="s">
        <v>71</v>
      </c>
      <c r="J376" s="3" t="s">
        <v>243</v>
      </c>
      <c r="K376" s="3" t="s">
        <v>77</v>
      </c>
      <c r="L376" s="4">
        <v>0.52361111111111114</v>
      </c>
      <c r="M376" s="3" t="s">
        <v>531</v>
      </c>
      <c r="N376" s="3" t="s">
        <v>24</v>
      </c>
      <c r="O376" s="3" t="s">
        <v>25</v>
      </c>
    </row>
    <row r="377" spans="1:15">
      <c r="A377" s="3" t="s">
        <v>15</v>
      </c>
      <c r="B377" s="3" t="str">
        <f>"FES1162739758"</f>
        <v>FES1162739758</v>
      </c>
      <c r="C377" s="3" t="s">
        <v>22</v>
      </c>
      <c r="D377" s="3">
        <v>0</v>
      </c>
      <c r="E377" s="3">
        <v>2170731404</v>
      </c>
      <c r="F377" s="3" t="s">
        <v>17</v>
      </c>
      <c r="G377" s="3" t="s">
        <v>18</v>
      </c>
      <c r="H377" s="3" t="s">
        <v>19</v>
      </c>
      <c r="I377" s="3" t="s">
        <v>277</v>
      </c>
      <c r="J377" s="3" t="s">
        <v>532</v>
      </c>
      <c r="K377" s="3" t="s">
        <v>77</v>
      </c>
      <c r="L377" s="4">
        <v>0.40625</v>
      </c>
      <c r="M377" s="3" t="s">
        <v>533</v>
      </c>
      <c r="N377" s="3" t="s">
        <v>24</v>
      </c>
      <c r="O377" s="3" t="s">
        <v>25</v>
      </c>
    </row>
    <row r="378" spans="1:15">
      <c r="A378" s="3" t="s">
        <v>15</v>
      </c>
      <c r="B378" s="3" t="str">
        <f>"FES1162739752"</f>
        <v>FES1162739752</v>
      </c>
      <c r="C378" s="3" t="s">
        <v>22</v>
      </c>
      <c r="D378" s="3">
        <v>0</v>
      </c>
      <c r="E378" s="3">
        <v>2170731399</v>
      </c>
      <c r="F378" s="3" t="s">
        <v>17</v>
      </c>
      <c r="G378" s="3" t="s">
        <v>18</v>
      </c>
      <c r="H378" s="3" t="s">
        <v>19</v>
      </c>
      <c r="I378" s="3" t="s">
        <v>277</v>
      </c>
      <c r="J378" s="3" t="s">
        <v>532</v>
      </c>
      <c r="K378" s="3" t="s">
        <v>77</v>
      </c>
      <c r="L378" s="4">
        <v>0.40625</v>
      </c>
      <c r="M378" s="3" t="s">
        <v>533</v>
      </c>
      <c r="N378" s="3" t="s">
        <v>24</v>
      </c>
      <c r="O378" s="3" t="s">
        <v>25</v>
      </c>
    </row>
    <row r="379" spans="1:15">
      <c r="A379" s="3" t="s">
        <v>15</v>
      </c>
      <c r="B379" s="3" t="str">
        <f>"FES1162739825"</f>
        <v>FES1162739825</v>
      </c>
      <c r="C379" s="3" t="s">
        <v>22</v>
      </c>
      <c r="D379" s="3">
        <v>0</v>
      </c>
      <c r="E379" s="3">
        <v>2170731452</v>
      </c>
      <c r="F379" s="3" t="s">
        <v>17</v>
      </c>
      <c r="G379" s="3" t="s">
        <v>18</v>
      </c>
      <c r="H379" s="3" t="s">
        <v>66</v>
      </c>
      <c r="I379" s="3" t="s">
        <v>67</v>
      </c>
      <c r="J379" s="3" t="s">
        <v>298</v>
      </c>
      <c r="K379" s="3" t="s">
        <v>77</v>
      </c>
      <c r="L379" s="4">
        <v>0.36805555555555558</v>
      </c>
      <c r="M379" s="3" t="s">
        <v>299</v>
      </c>
      <c r="N379" s="3" t="s">
        <v>24</v>
      </c>
      <c r="O379" s="3" t="s">
        <v>25</v>
      </c>
    </row>
    <row r="380" spans="1:15">
      <c r="A380" s="3" t="s">
        <v>15</v>
      </c>
      <c r="B380" s="3" t="str">
        <f>"FES1162739782"</f>
        <v>FES1162739782</v>
      </c>
      <c r="C380" s="3" t="s">
        <v>22</v>
      </c>
      <c r="D380" s="3">
        <v>0</v>
      </c>
      <c r="E380" s="3">
        <v>2170731434</v>
      </c>
      <c r="F380" s="3" t="s">
        <v>17</v>
      </c>
      <c r="G380" s="3" t="s">
        <v>18</v>
      </c>
      <c r="H380" s="3" t="s">
        <v>534</v>
      </c>
      <c r="I380" s="3" t="s">
        <v>535</v>
      </c>
      <c r="J380" s="3" t="s">
        <v>536</v>
      </c>
      <c r="K380" s="3" t="s">
        <v>77</v>
      </c>
      <c r="L380" s="4">
        <v>0.39583333333333331</v>
      </c>
      <c r="M380" s="3" t="s">
        <v>232</v>
      </c>
      <c r="N380" s="3" t="s">
        <v>24</v>
      </c>
      <c r="O380" s="3" t="s">
        <v>25</v>
      </c>
    </row>
    <row r="381" spans="1:15">
      <c r="A381" s="3" t="s">
        <v>15</v>
      </c>
      <c r="B381" s="3" t="str">
        <f>"FES1162739804"</f>
        <v>FES1162739804</v>
      </c>
      <c r="C381" s="3" t="s">
        <v>22</v>
      </c>
      <c r="D381" s="3">
        <v>0</v>
      </c>
      <c r="E381" s="3">
        <v>2170731451</v>
      </c>
      <c r="F381" s="3" t="s">
        <v>17</v>
      </c>
      <c r="G381" s="3" t="s">
        <v>18</v>
      </c>
      <c r="H381" s="3" t="s">
        <v>100</v>
      </c>
      <c r="I381" s="3" t="s">
        <v>101</v>
      </c>
      <c r="J381" s="3" t="s">
        <v>125</v>
      </c>
      <c r="K381" s="3" t="s">
        <v>77</v>
      </c>
      <c r="L381" s="4">
        <v>0.30416666666666664</v>
      </c>
      <c r="M381" s="3" t="s">
        <v>272</v>
      </c>
      <c r="N381" s="3" t="s">
        <v>24</v>
      </c>
      <c r="O381" s="3" t="s">
        <v>25</v>
      </c>
    </row>
    <row r="382" spans="1:15">
      <c r="A382" s="3" t="s">
        <v>15</v>
      </c>
      <c r="B382" s="3" t="str">
        <f>"FES1162739822"</f>
        <v>FES1162739822</v>
      </c>
      <c r="C382" s="3" t="s">
        <v>22</v>
      </c>
      <c r="D382" s="3">
        <v>0</v>
      </c>
      <c r="E382" s="3">
        <v>2170731461</v>
      </c>
      <c r="F382" s="3" t="s">
        <v>17</v>
      </c>
      <c r="G382" s="3" t="s">
        <v>18</v>
      </c>
      <c r="H382" s="3" t="s">
        <v>100</v>
      </c>
      <c r="I382" s="3" t="s">
        <v>117</v>
      </c>
      <c r="J382" s="3" t="s">
        <v>118</v>
      </c>
      <c r="K382" s="3" t="s">
        <v>77</v>
      </c>
      <c r="L382" s="4">
        <v>0.51597222222222217</v>
      </c>
      <c r="M382" s="3" t="s">
        <v>119</v>
      </c>
      <c r="N382" s="3" t="s">
        <v>24</v>
      </c>
      <c r="O382" s="3" t="s">
        <v>25</v>
      </c>
    </row>
    <row r="383" spans="1:15">
      <c r="A383" s="3" t="s">
        <v>15</v>
      </c>
      <c r="B383" s="3" t="str">
        <f>"FES1162739748"</f>
        <v>FES1162739748</v>
      </c>
      <c r="C383" s="3" t="s">
        <v>22</v>
      </c>
      <c r="D383" s="3">
        <v>0</v>
      </c>
      <c r="E383" s="3">
        <v>2170731395</v>
      </c>
      <c r="F383" s="3" t="s">
        <v>17</v>
      </c>
      <c r="G383" s="3" t="s">
        <v>18</v>
      </c>
      <c r="H383" s="3" t="s">
        <v>70</v>
      </c>
      <c r="I383" s="3" t="s">
        <v>71</v>
      </c>
      <c r="J383" s="3" t="s">
        <v>392</v>
      </c>
      <c r="K383" s="3" t="s">
        <v>77</v>
      </c>
      <c r="L383" s="4">
        <v>0.57361111111111118</v>
      </c>
      <c r="M383" s="3" t="s">
        <v>393</v>
      </c>
      <c r="N383" s="3" t="s">
        <v>24</v>
      </c>
      <c r="O383" s="3" t="s">
        <v>25</v>
      </c>
    </row>
    <row r="384" spans="1:15">
      <c r="A384" s="3" t="s">
        <v>15</v>
      </c>
      <c r="B384" s="3" t="str">
        <f>"FES1162739802"</f>
        <v>FES1162739802</v>
      </c>
      <c r="C384" s="3" t="s">
        <v>22</v>
      </c>
      <c r="D384" s="3">
        <v>0</v>
      </c>
      <c r="E384" s="3">
        <v>2170731449</v>
      </c>
      <c r="F384" s="3" t="s">
        <v>17</v>
      </c>
      <c r="G384" s="3" t="s">
        <v>18</v>
      </c>
      <c r="H384" s="3" t="s">
        <v>537</v>
      </c>
      <c r="I384" s="3" t="s">
        <v>538</v>
      </c>
      <c r="J384" s="3" t="s">
        <v>539</v>
      </c>
      <c r="K384" s="3" t="s">
        <v>77</v>
      </c>
      <c r="L384" s="4">
        <v>0.41180555555555554</v>
      </c>
      <c r="M384" s="3" t="s">
        <v>540</v>
      </c>
      <c r="N384" s="3" t="s">
        <v>24</v>
      </c>
      <c r="O384" s="3" t="s">
        <v>25</v>
      </c>
    </row>
    <row r="385" spans="1:15">
      <c r="A385" s="3" t="s">
        <v>15</v>
      </c>
      <c r="B385" s="3" t="str">
        <f>"FES1162739756"</f>
        <v>FES1162739756</v>
      </c>
      <c r="C385" s="3" t="s">
        <v>22</v>
      </c>
      <c r="D385" s="3">
        <v>0</v>
      </c>
      <c r="E385" s="3">
        <v>2170731402</v>
      </c>
      <c r="F385" s="3" t="s">
        <v>17</v>
      </c>
      <c r="G385" s="3" t="s">
        <v>18</v>
      </c>
      <c r="H385" s="3" t="s">
        <v>18</v>
      </c>
      <c r="I385" s="3" t="s">
        <v>151</v>
      </c>
      <c r="J385" s="3" t="s">
        <v>322</v>
      </c>
      <c r="K385" s="3" t="s">
        <v>77</v>
      </c>
      <c r="L385" s="4">
        <v>0.39583333333333331</v>
      </c>
      <c r="M385" s="3" t="s">
        <v>323</v>
      </c>
      <c r="N385" s="3" t="s">
        <v>24</v>
      </c>
      <c r="O385" s="3" t="s">
        <v>25</v>
      </c>
    </row>
    <row r="386" spans="1:15">
      <c r="A386" s="3" t="s">
        <v>15</v>
      </c>
      <c r="B386" s="3" t="str">
        <f>"FES1162739824"</f>
        <v>FES1162739824</v>
      </c>
      <c r="C386" s="3" t="s">
        <v>22</v>
      </c>
      <c r="D386" s="3">
        <v>0</v>
      </c>
      <c r="E386" s="3">
        <v>2170731465</v>
      </c>
      <c r="F386" s="3" t="s">
        <v>17</v>
      </c>
      <c r="G386" s="3" t="s">
        <v>18</v>
      </c>
      <c r="H386" s="3" t="s">
        <v>18</v>
      </c>
      <c r="I386" s="3" t="s">
        <v>33</v>
      </c>
      <c r="J386" s="3" t="s">
        <v>34</v>
      </c>
      <c r="K386" s="3" t="s">
        <v>77</v>
      </c>
      <c r="L386" s="4">
        <v>0.39166666666666666</v>
      </c>
      <c r="M386" s="3" t="s">
        <v>444</v>
      </c>
      <c r="N386" s="3" t="s">
        <v>24</v>
      </c>
      <c r="O386" s="3" t="s">
        <v>25</v>
      </c>
    </row>
    <row r="387" spans="1:15">
      <c r="A387" s="3" t="s">
        <v>15</v>
      </c>
      <c r="B387" s="3" t="str">
        <f>"FES1162739806"</f>
        <v>FES1162739806</v>
      </c>
      <c r="C387" s="3" t="s">
        <v>22</v>
      </c>
      <c r="D387" s="3">
        <v>0</v>
      </c>
      <c r="E387" s="3">
        <v>2170731453</v>
      </c>
      <c r="F387" s="3" t="s">
        <v>17</v>
      </c>
      <c r="G387" s="3" t="s">
        <v>18</v>
      </c>
      <c r="H387" s="3" t="s">
        <v>18</v>
      </c>
      <c r="I387" s="3" t="s">
        <v>29</v>
      </c>
      <c r="J387" s="3" t="s">
        <v>307</v>
      </c>
      <c r="K387" s="3" t="s">
        <v>77</v>
      </c>
      <c r="L387" s="4">
        <v>0.33333333333333331</v>
      </c>
      <c r="M387" s="3" t="s">
        <v>308</v>
      </c>
      <c r="N387" s="3" t="s">
        <v>24</v>
      </c>
      <c r="O387" s="3" t="s">
        <v>25</v>
      </c>
    </row>
    <row r="388" spans="1:15">
      <c r="A388" s="3" t="s">
        <v>15</v>
      </c>
      <c r="B388" s="3" t="str">
        <f>"FES1162739826"</f>
        <v>FES1162739826</v>
      </c>
      <c r="C388" s="3" t="s">
        <v>22</v>
      </c>
      <c r="D388" s="3">
        <v>1</v>
      </c>
      <c r="E388" s="3">
        <v>2170731648</v>
      </c>
      <c r="F388" s="3" t="s">
        <v>17</v>
      </c>
      <c r="G388" s="3" t="s">
        <v>18</v>
      </c>
      <c r="H388" s="3" t="s">
        <v>66</v>
      </c>
      <c r="I388" s="3" t="s">
        <v>158</v>
      </c>
      <c r="J388" s="3" t="s">
        <v>541</v>
      </c>
      <c r="K388" s="3" t="s">
        <v>77</v>
      </c>
      <c r="L388" s="4">
        <v>0.66597222222222219</v>
      </c>
      <c r="M388" s="3" t="s">
        <v>542</v>
      </c>
      <c r="N388" s="3" t="s">
        <v>24</v>
      </c>
      <c r="O388" s="3" t="s">
        <v>25</v>
      </c>
    </row>
    <row r="389" spans="1:15">
      <c r="A389" s="3" t="s">
        <v>15</v>
      </c>
      <c r="B389" s="3" t="str">
        <f>"FES1162739767"</f>
        <v>FES1162739767</v>
      </c>
      <c r="C389" s="3" t="s">
        <v>22</v>
      </c>
      <c r="D389" s="3">
        <v>1</v>
      </c>
      <c r="E389" s="3">
        <v>2170731414</v>
      </c>
      <c r="F389" s="3" t="s">
        <v>17</v>
      </c>
      <c r="G389" s="3" t="s">
        <v>18</v>
      </c>
      <c r="H389" s="3" t="s">
        <v>366</v>
      </c>
      <c r="I389" s="3" t="s">
        <v>67</v>
      </c>
      <c r="J389" s="3" t="s">
        <v>543</v>
      </c>
      <c r="K389" s="3" t="s">
        <v>77</v>
      </c>
      <c r="L389" s="4">
        <v>0.42708333333333331</v>
      </c>
      <c r="M389" s="3" t="s">
        <v>268</v>
      </c>
      <c r="N389" s="3" t="s">
        <v>24</v>
      </c>
      <c r="O389" s="3" t="s">
        <v>25</v>
      </c>
    </row>
    <row r="390" spans="1:15">
      <c r="A390" s="3" t="s">
        <v>15</v>
      </c>
      <c r="B390" s="3" t="str">
        <f>"FES1162739770"</f>
        <v>FES1162739770</v>
      </c>
      <c r="C390" s="3" t="s">
        <v>22</v>
      </c>
      <c r="D390" s="3">
        <v>1</v>
      </c>
      <c r="E390" s="3">
        <v>2170731420</v>
      </c>
      <c r="F390" s="3" t="s">
        <v>17</v>
      </c>
      <c r="G390" s="3" t="s">
        <v>18</v>
      </c>
      <c r="H390" s="3" t="s">
        <v>100</v>
      </c>
      <c r="I390" s="3" t="s">
        <v>155</v>
      </c>
      <c r="J390" s="3" t="s">
        <v>544</v>
      </c>
      <c r="K390" s="3" t="s">
        <v>77</v>
      </c>
      <c r="L390" s="4">
        <v>0.46458333333333335</v>
      </c>
      <c r="M390" s="3" t="s">
        <v>545</v>
      </c>
      <c r="N390" s="3" t="s">
        <v>24</v>
      </c>
      <c r="O390" s="3" t="s">
        <v>25</v>
      </c>
    </row>
    <row r="391" spans="1:15">
      <c r="A391" s="3" t="s">
        <v>15</v>
      </c>
      <c r="B391" s="3" t="str">
        <f>"FES1162739792"</f>
        <v>FES1162739792</v>
      </c>
      <c r="C391" s="3" t="s">
        <v>22</v>
      </c>
      <c r="D391" s="3">
        <v>0</v>
      </c>
      <c r="E391" s="3">
        <v>217070731444</v>
      </c>
      <c r="F391" s="3" t="s">
        <v>17</v>
      </c>
      <c r="G391" s="3" t="s">
        <v>18</v>
      </c>
      <c r="H391" s="3" t="s">
        <v>18</v>
      </c>
      <c r="I391" s="3" t="s">
        <v>151</v>
      </c>
      <c r="J391" s="3" t="s">
        <v>546</v>
      </c>
      <c r="K391" s="3" t="s">
        <v>77</v>
      </c>
      <c r="L391" s="4">
        <v>0.44236111111111115</v>
      </c>
      <c r="M391" s="3" t="s">
        <v>547</v>
      </c>
      <c r="N391" s="3" t="s">
        <v>24</v>
      </c>
      <c r="O391" s="3" t="s">
        <v>25</v>
      </c>
    </row>
    <row r="392" spans="1:15">
      <c r="A392" s="3" t="s">
        <v>15</v>
      </c>
      <c r="B392" s="3" t="str">
        <f>"FES1162739713"</f>
        <v>FES1162739713</v>
      </c>
      <c r="C392" s="3" t="s">
        <v>22</v>
      </c>
      <c r="D392" s="3">
        <v>1</v>
      </c>
      <c r="E392" s="3">
        <v>217071353</v>
      </c>
      <c r="F392" s="3" t="s">
        <v>17</v>
      </c>
      <c r="G392" s="3" t="s">
        <v>18</v>
      </c>
      <c r="H392" s="3" t="s">
        <v>100</v>
      </c>
      <c r="I392" s="3" t="s">
        <v>101</v>
      </c>
      <c r="J392" s="3" t="s">
        <v>125</v>
      </c>
      <c r="K392" s="3" t="s">
        <v>77</v>
      </c>
      <c r="L392" s="4">
        <v>0.30416666666666664</v>
      </c>
      <c r="M392" s="3" t="s">
        <v>272</v>
      </c>
      <c r="N392" s="3" t="s">
        <v>24</v>
      </c>
      <c r="O392" s="3" t="s">
        <v>25</v>
      </c>
    </row>
    <row r="393" spans="1:15">
      <c r="A393" s="3" t="s">
        <v>15</v>
      </c>
      <c r="B393" s="3" t="str">
        <f>"FES1162739780"</f>
        <v>FES1162739780</v>
      </c>
      <c r="C393" s="3" t="s">
        <v>22</v>
      </c>
      <c r="D393" s="3">
        <v>1</v>
      </c>
      <c r="E393" s="3">
        <v>217071431</v>
      </c>
      <c r="F393" s="3" t="s">
        <v>17</v>
      </c>
      <c r="G393" s="3" t="s">
        <v>18</v>
      </c>
      <c r="H393" s="3" t="s">
        <v>70</v>
      </c>
      <c r="I393" s="3" t="s">
        <v>71</v>
      </c>
      <c r="J393" s="3" t="s">
        <v>243</v>
      </c>
      <c r="K393" s="3" t="s">
        <v>77</v>
      </c>
      <c r="L393" s="4">
        <v>0.52361111111111114</v>
      </c>
      <c r="M393" s="3" t="s">
        <v>531</v>
      </c>
      <c r="N393" s="3" t="s">
        <v>24</v>
      </c>
      <c r="O393" s="3" t="s">
        <v>25</v>
      </c>
    </row>
    <row r="394" spans="1:15">
      <c r="A394" s="3" t="s">
        <v>15</v>
      </c>
      <c r="B394" s="3" t="str">
        <f>"FES1162739754"</f>
        <v>FES1162739754</v>
      </c>
      <c r="C394" s="3" t="s">
        <v>22</v>
      </c>
      <c r="D394" s="3">
        <v>1</v>
      </c>
      <c r="E394" s="3">
        <v>2170731366</v>
      </c>
      <c r="F394" s="3" t="s">
        <v>17</v>
      </c>
      <c r="G394" s="3" t="s">
        <v>18</v>
      </c>
      <c r="H394" s="3" t="s">
        <v>100</v>
      </c>
      <c r="I394" s="3" t="s">
        <v>144</v>
      </c>
      <c r="J394" s="3" t="s">
        <v>378</v>
      </c>
      <c r="K394" s="3" t="s">
        <v>77</v>
      </c>
      <c r="L394" s="4">
        <v>0.40208333333333335</v>
      </c>
      <c r="M394" s="3" t="s">
        <v>548</v>
      </c>
      <c r="N394" s="3" t="s">
        <v>24</v>
      </c>
      <c r="O394" s="3" t="s">
        <v>25</v>
      </c>
    </row>
    <row r="395" spans="1:15">
      <c r="A395" s="3" t="s">
        <v>15</v>
      </c>
      <c r="B395" s="3" t="str">
        <f>"FES1162739731"</f>
        <v>FES1162739731</v>
      </c>
      <c r="C395" s="3" t="s">
        <v>22</v>
      </c>
      <c r="D395" s="3">
        <v>1</v>
      </c>
      <c r="E395" s="3">
        <v>2170731370</v>
      </c>
      <c r="F395" s="3" t="s">
        <v>17</v>
      </c>
      <c r="G395" s="3" t="s">
        <v>18</v>
      </c>
      <c r="H395" s="3" t="s">
        <v>100</v>
      </c>
      <c r="I395" s="3" t="s">
        <v>101</v>
      </c>
      <c r="J395" s="3" t="s">
        <v>137</v>
      </c>
      <c r="K395" s="3" t="s">
        <v>77</v>
      </c>
      <c r="L395" s="4">
        <v>0.43194444444444446</v>
      </c>
      <c r="M395" s="3" t="s">
        <v>371</v>
      </c>
      <c r="N395" s="3" t="s">
        <v>24</v>
      </c>
      <c r="O395" s="3" t="s">
        <v>25</v>
      </c>
    </row>
    <row r="396" spans="1:15">
      <c r="A396" s="3" t="s">
        <v>15</v>
      </c>
      <c r="B396" s="3" t="str">
        <f>"FES1162739741"</f>
        <v>FES1162739741</v>
      </c>
      <c r="C396" s="3" t="s">
        <v>22</v>
      </c>
      <c r="D396" s="3">
        <v>1</v>
      </c>
      <c r="E396" s="3">
        <v>2170731388</v>
      </c>
      <c r="F396" s="3" t="s">
        <v>17</v>
      </c>
      <c r="G396" s="3" t="s">
        <v>18</v>
      </c>
      <c r="H396" s="3" t="s">
        <v>19</v>
      </c>
      <c r="I396" s="3" t="s">
        <v>277</v>
      </c>
      <c r="J396" s="3" t="s">
        <v>549</v>
      </c>
      <c r="K396" s="3" t="s">
        <v>77</v>
      </c>
      <c r="L396" s="4">
        <v>0.39861111111111108</v>
      </c>
      <c r="M396" s="3" t="s">
        <v>550</v>
      </c>
      <c r="N396" s="3" t="s">
        <v>24</v>
      </c>
      <c r="O396" s="3" t="s">
        <v>25</v>
      </c>
    </row>
    <row r="397" spans="1:15">
      <c r="A397" s="3" t="s">
        <v>15</v>
      </c>
      <c r="B397" s="3" t="str">
        <f>"FES1162739747"</f>
        <v>FES1162739747</v>
      </c>
      <c r="C397" s="3" t="s">
        <v>22</v>
      </c>
      <c r="D397" s="3">
        <v>1</v>
      </c>
      <c r="E397" s="3">
        <v>2170731394</v>
      </c>
      <c r="F397" s="3" t="s">
        <v>17</v>
      </c>
      <c r="G397" s="3" t="s">
        <v>18</v>
      </c>
      <c r="H397" s="3" t="s">
        <v>19</v>
      </c>
      <c r="I397" s="3" t="s">
        <v>277</v>
      </c>
      <c r="J397" s="3" t="s">
        <v>549</v>
      </c>
      <c r="K397" s="3" t="s">
        <v>77</v>
      </c>
      <c r="L397" s="4">
        <v>0.39861111111111108</v>
      </c>
      <c r="M397" s="3" t="s">
        <v>550</v>
      </c>
      <c r="N397" s="3" t="s">
        <v>24</v>
      </c>
      <c r="O397" s="3" t="s">
        <v>25</v>
      </c>
    </row>
    <row r="398" spans="1:15">
      <c r="A398" s="3" t="s">
        <v>15</v>
      </c>
      <c r="B398" s="3" t="str">
        <f>"FES1162739834"</f>
        <v>FES1162739834</v>
      </c>
      <c r="C398" s="3" t="s">
        <v>22</v>
      </c>
      <c r="D398" s="3">
        <v>1</v>
      </c>
      <c r="E398" s="3">
        <v>217073662</v>
      </c>
      <c r="F398" s="3" t="s">
        <v>17</v>
      </c>
      <c r="G398" s="3" t="s">
        <v>18</v>
      </c>
      <c r="H398" s="3" t="s">
        <v>19</v>
      </c>
      <c r="I398" s="3" t="s">
        <v>20</v>
      </c>
      <c r="J398" s="3" t="s">
        <v>60</v>
      </c>
      <c r="K398" s="3" t="s">
        <v>77</v>
      </c>
      <c r="L398" s="4">
        <v>0.3298611111111111</v>
      </c>
      <c r="M398" s="3" t="s">
        <v>61</v>
      </c>
      <c r="N398" s="3" t="s">
        <v>24</v>
      </c>
      <c r="O398" s="3" t="s">
        <v>25</v>
      </c>
    </row>
    <row r="399" spans="1:15">
      <c r="A399" s="3" t="s">
        <v>15</v>
      </c>
      <c r="B399" s="3" t="str">
        <f>"FES1162739614"</f>
        <v>FES1162739614</v>
      </c>
      <c r="C399" s="3" t="s">
        <v>22</v>
      </c>
      <c r="D399" s="3">
        <v>1</v>
      </c>
      <c r="E399" s="3">
        <v>2170726770</v>
      </c>
      <c r="F399" s="3" t="s">
        <v>17</v>
      </c>
      <c r="G399" s="3" t="s">
        <v>18</v>
      </c>
      <c r="H399" s="3" t="s">
        <v>19</v>
      </c>
      <c r="I399" s="3" t="s">
        <v>277</v>
      </c>
      <c r="J399" s="3" t="s">
        <v>278</v>
      </c>
      <c r="K399" s="3" t="s">
        <v>77</v>
      </c>
      <c r="L399" s="4">
        <v>0.4236111111111111</v>
      </c>
      <c r="M399" s="3" t="s">
        <v>279</v>
      </c>
      <c r="N399" s="3" t="s">
        <v>24</v>
      </c>
      <c r="O399" s="3" t="s">
        <v>25</v>
      </c>
    </row>
    <row r="400" spans="1:15">
      <c r="A400" s="3" t="s">
        <v>15</v>
      </c>
      <c r="B400" s="3" t="str">
        <f>"FES1162739827"</f>
        <v>FES1162739827</v>
      </c>
      <c r="C400" s="3" t="s">
        <v>22</v>
      </c>
      <c r="D400" s="3">
        <v>0</v>
      </c>
      <c r="E400" s="3">
        <v>2170731469</v>
      </c>
      <c r="F400" s="3" t="s">
        <v>17</v>
      </c>
      <c r="G400" s="3" t="s">
        <v>18</v>
      </c>
      <c r="H400" s="3" t="s">
        <v>66</v>
      </c>
      <c r="I400" s="3" t="s">
        <v>67</v>
      </c>
      <c r="J400" s="3" t="s">
        <v>551</v>
      </c>
      <c r="K400" s="3" t="s">
        <v>77</v>
      </c>
      <c r="L400" s="4">
        <v>0.4201388888888889</v>
      </c>
      <c r="M400" s="3" t="s">
        <v>552</v>
      </c>
      <c r="N400" s="3" t="s">
        <v>24</v>
      </c>
      <c r="O400" s="3" t="s">
        <v>25</v>
      </c>
    </row>
    <row r="401" spans="1:15">
      <c r="A401" s="3" t="s">
        <v>15</v>
      </c>
      <c r="B401" s="3" t="str">
        <f>"FES1162739733"</f>
        <v>FES1162739733</v>
      </c>
      <c r="C401" s="3" t="s">
        <v>22</v>
      </c>
      <c r="D401" s="3">
        <v>0</v>
      </c>
      <c r="E401" s="3">
        <v>2170731375</v>
      </c>
      <c r="F401" s="3" t="s">
        <v>17</v>
      </c>
      <c r="G401" s="3" t="s">
        <v>18</v>
      </c>
      <c r="H401" s="3" t="s">
        <v>100</v>
      </c>
      <c r="I401" s="3" t="s">
        <v>101</v>
      </c>
      <c r="J401" s="3" t="s">
        <v>131</v>
      </c>
      <c r="K401" s="3" t="s">
        <v>77</v>
      </c>
      <c r="L401" s="4">
        <v>0.3430555555555555</v>
      </c>
      <c r="M401" s="3" t="s">
        <v>132</v>
      </c>
      <c r="N401" s="3" t="s">
        <v>24</v>
      </c>
      <c r="O401" s="3" t="s">
        <v>25</v>
      </c>
    </row>
    <row r="402" spans="1:15">
      <c r="A402" s="3" t="s">
        <v>15</v>
      </c>
      <c r="B402" s="3" t="str">
        <f>"FES1162739755"</f>
        <v>FES1162739755</v>
      </c>
      <c r="C402" s="3" t="s">
        <v>22</v>
      </c>
      <c r="D402" s="3">
        <v>1</v>
      </c>
      <c r="E402" s="3">
        <v>2170731401</v>
      </c>
      <c r="F402" s="3" t="s">
        <v>17</v>
      </c>
      <c r="G402" s="3" t="s">
        <v>18</v>
      </c>
      <c r="H402" s="3" t="s">
        <v>19</v>
      </c>
      <c r="I402" s="3" t="s">
        <v>277</v>
      </c>
      <c r="J402" s="3" t="s">
        <v>549</v>
      </c>
      <c r="K402" s="3" t="s">
        <v>77</v>
      </c>
      <c r="L402" s="4">
        <v>0.40625</v>
      </c>
      <c r="M402" s="3" t="s">
        <v>533</v>
      </c>
      <c r="N402" s="3" t="s">
        <v>24</v>
      </c>
      <c r="O402" s="3" t="s">
        <v>25</v>
      </c>
    </row>
    <row r="403" spans="1:15">
      <c r="A403" s="3" t="s">
        <v>15</v>
      </c>
      <c r="B403" s="3" t="str">
        <f>"FES1162739769"</f>
        <v>FES1162739769</v>
      </c>
      <c r="C403" s="3" t="s">
        <v>22</v>
      </c>
      <c r="D403" s="3">
        <v>1</v>
      </c>
      <c r="E403" s="3">
        <v>2170731418</v>
      </c>
      <c r="F403" s="3" t="s">
        <v>17</v>
      </c>
      <c r="G403" s="3" t="s">
        <v>18</v>
      </c>
      <c r="H403" s="3" t="s">
        <v>19</v>
      </c>
      <c r="I403" s="3" t="s">
        <v>20</v>
      </c>
      <c r="J403" s="3" t="s">
        <v>358</v>
      </c>
      <c r="K403" s="3" t="s">
        <v>77</v>
      </c>
      <c r="L403" s="4">
        <v>0.4458333333333333</v>
      </c>
      <c r="M403" s="3" t="s">
        <v>359</v>
      </c>
      <c r="N403" s="3" t="s">
        <v>24</v>
      </c>
      <c r="O403" s="3" t="s">
        <v>25</v>
      </c>
    </row>
    <row r="404" spans="1:15">
      <c r="A404" s="3" t="s">
        <v>15</v>
      </c>
      <c r="B404" s="3" t="str">
        <f>"FES1162739725"</f>
        <v>FES1162739725</v>
      </c>
      <c r="C404" s="3" t="s">
        <v>22</v>
      </c>
      <c r="D404" s="3">
        <v>1</v>
      </c>
      <c r="E404" s="3">
        <v>2170731365</v>
      </c>
      <c r="F404" s="3" t="s">
        <v>17</v>
      </c>
      <c r="G404" s="3" t="s">
        <v>18</v>
      </c>
      <c r="H404" s="3" t="s">
        <v>19</v>
      </c>
      <c r="I404" s="3" t="s">
        <v>86</v>
      </c>
      <c r="J404" s="3" t="s">
        <v>273</v>
      </c>
      <c r="K404" s="3" t="s">
        <v>77</v>
      </c>
      <c r="L404" s="4">
        <v>0.42638888888888887</v>
      </c>
      <c r="M404" s="3" t="s">
        <v>553</v>
      </c>
      <c r="N404" s="3" t="s">
        <v>24</v>
      </c>
      <c r="O404" s="3" t="s">
        <v>25</v>
      </c>
    </row>
    <row r="405" spans="1:15">
      <c r="A405" s="3" t="s">
        <v>15</v>
      </c>
      <c r="B405" s="3" t="str">
        <f>"FES1162739762"</f>
        <v>FES1162739762</v>
      </c>
      <c r="C405" s="3" t="s">
        <v>22</v>
      </c>
      <c r="D405" s="3">
        <v>1</v>
      </c>
      <c r="E405" s="3">
        <v>2170731409</v>
      </c>
      <c r="F405" s="3" t="s">
        <v>17</v>
      </c>
      <c r="G405" s="3" t="s">
        <v>18</v>
      </c>
      <c r="H405" s="3" t="s">
        <v>19</v>
      </c>
      <c r="I405" s="3" t="s">
        <v>277</v>
      </c>
      <c r="J405" s="3" t="s">
        <v>549</v>
      </c>
      <c r="K405" s="3" t="s">
        <v>77</v>
      </c>
      <c r="L405" s="4">
        <v>0.40625</v>
      </c>
      <c r="M405" s="3" t="s">
        <v>533</v>
      </c>
      <c r="N405" s="3" t="s">
        <v>24</v>
      </c>
      <c r="O405" s="3" t="s">
        <v>25</v>
      </c>
    </row>
    <row r="406" spans="1:15">
      <c r="A406" s="3" t="s">
        <v>15</v>
      </c>
      <c r="B406" s="3" t="str">
        <f>"FES1162739785"</f>
        <v>FES1162739785</v>
      </c>
      <c r="C406" s="3" t="s">
        <v>22</v>
      </c>
      <c r="D406" s="3">
        <v>0</v>
      </c>
      <c r="E406" s="3">
        <v>2170731438</v>
      </c>
      <c r="F406" s="3" t="s">
        <v>17</v>
      </c>
      <c r="G406" s="3" t="s">
        <v>18</v>
      </c>
      <c r="H406" s="3" t="s">
        <v>100</v>
      </c>
      <c r="I406" s="3" t="s">
        <v>101</v>
      </c>
      <c r="J406" s="3" t="s">
        <v>554</v>
      </c>
      <c r="K406" s="3" t="s">
        <v>77</v>
      </c>
      <c r="L406" s="4">
        <v>0.34791666666666665</v>
      </c>
      <c r="M406" s="3" t="s">
        <v>555</v>
      </c>
      <c r="N406" s="3" t="s">
        <v>24</v>
      </c>
      <c r="O406" s="3" t="s">
        <v>25</v>
      </c>
    </row>
    <row r="407" spans="1:15">
      <c r="A407" s="3" t="s">
        <v>15</v>
      </c>
      <c r="B407" s="3" t="str">
        <f>"FES1162739696"</f>
        <v>FES1162739696</v>
      </c>
      <c r="C407" s="3" t="s">
        <v>22</v>
      </c>
      <c r="D407" s="3">
        <v>1</v>
      </c>
      <c r="E407" s="3">
        <v>2170731321</v>
      </c>
      <c r="F407" s="3" t="s">
        <v>17</v>
      </c>
      <c r="G407" s="3" t="s">
        <v>18</v>
      </c>
      <c r="H407" s="3" t="s">
        <v>18</v>
      </c>
      <c r="I407" s="3" t="s">
        <v>151</v>
      </c>
      <c r="J407" s="3" t="s">
        <v>556</v>
      </c>
      <c r="K407" s="3" t="s">
        <v>77</v>
      </c>
      <c r="L407" s="4">
        <v>0.4375</v>
      </c>
      <c r="M407" s="3" t="s">
        <v>557</v>
      </c>
      <c r="N407" s="3" t="s">
        <v>24</v>
      </c>
      <c r="O407" s="3" t="s">
        <v>25</v>
      </c>
    </row>
    <row r="408" spans="1:15">
      <c r="A408" s="3" t="s">
        <v>15</v>
      </c>
      <c r="B408" s="3" t="str">
        <f>"FES1162739760"</f>
        <v>FES1162739760</v>
      </c>
      <c r="C408" s="3" t="s">
        <v>22</v>
      </c>
      <c r="D408" s="3">
        <v>0</v>
      </c>
      <c r="E408" s="3">
        <v>2170731406</v>
      </c>
      <c r="F408" s="3" t="s">
        <v>17</v>
      </c>
      <c r="G408" s="3" t="s">
        <v>18</v>
      </c>
      <c r="H408" s="3" t="s">
        <v>100</v>
      </c>
      <c r="I408" s="3" t="s">
        <v>101</v>
      </c>
      <c r="J408" s="3" t="s">
        <v>296</v>
      </c>
      <c r="K408" s="3" t="s">
        <v>77</v>
      </c>
      <c r="L408" s="4">
        <v>0.38611111111111113</v>
      </c>
      <c r="M408" s="3" t="s">
        <v>558</v>
      </c>
      <c r="N408" s="3" t="s">
        <v>24</v>
      </c>
      <c r="O408" s="3" t="s">
        <v>25</v>
      </c>
    </row>
    <row r="409" spans="1:15">
      <c r="A409" s="3" t="s">
        <v>15</v>
      </c>
      <c r="B409" s="3" t="str">
        <f>"FES1162739807"</f>
        <v>FES1162739807</v>
      </c>
      <c r="C409" s="3" t="s">
        <v>22</v>
      </c>
      <c r="D409" s="3">
        <v>0</v>
      </c>
      <c r="E409" s="3">
        <v>2170731455</v>
      </c>
      <c r="F409" s="3" t="s">
        <v>17</v>
      </c>
      <c r="G409" s="3" t="s">
        <v>18</v>
      </c>
      <c r="H409" s="3" t="s">
        <v>18</v>
      </c>
      <c r="I409" s="3" t="s">
        <v>29</v>
      </c>
      <c r="J409" s="3" t="s">
        <v>307</v>
      </c>
      <c r="K409" s="3" t="s">
        <v>77</v>
      </c>
      <c r="L409" s="4">
        <v>0.33333333333333331</v>
      </c>
      <c r="M409" s="3" t="s">
        <v>308</v>
      </c>
      <c r="N409" s="3" t="s">
        <v>24</v>
      </c>
      <c r="O409" s="3" t="s">
        <v>25</v>
      </c>
    </row>
    <row r="410" spans="1:15">
      <c r="A410" s="3" t="s">
        <v>15</v>
      </c>
      <c r="B410" s="3" t="str">
        <f>"FES1162739757"</f>
        <v>FES1162739757</v>
      </c>
      <c r="C410" s="3" t="s">
        <v>22</v>
      </c>
      <c r="D410" s="3">
        <v>0</v>
      </c>
      <c r="E410" s="3">
        <v>2170731403</v>
      </c>
      <c r="F410" s="3" t="s">
        <v>17</v>
      </c>
      <c r="G410" s="3" t="s">
        <v>18</v>
      </c>
      <c r="H410" s="3" t="s">
        <v>18</v>
      </c>
      <c r="I410" s="3" t="s">
        <v>180</v>
      </c>
      <c r="J410" s="3" t="s">
        <v>181</v>
      </c>
      <c r="K410" s="3" t="s">
        <v>77</v>
      </c>
      <c r="L410" s="4">
        <v>0.41666666666666669</v>
      </c>
      <c r="M410" s="3" t="s">
        <v>521</v>
      </c>
      <c r="N410" s="3" t="s">
        <v>24</v>
      </c>
      <c r="O410" s="3" t="s">
        <v>25</v>
      </c>
    </row>
    <row r="411" spans="1:15">
      <c r="A411" s="3" t="s">
        <v>15</v>
      </c>
      <c r="B411" s="3" t="str">
        <f>"FES1162739779"</f>
        <v>FES1162739779</v>
      </c>
      <c r="C411" s="3" t="s">
        <v>22</v>
      </c>
      <c r="D411" s="3">
        <v>0</v>
      </c>
      <c r="E411" s="3">
        <v>2170731430</v>
      </c>
      <c r="F411" s="3" t="s">
        <v>17</v>
      </c>
      <c r="G411" s="3" t="s">
        <v>18</v>
      </c>
      <c r="H411" s="3" t="s">
        <v>19</v>
      </c>
      <c r="I411" s="3" t="s">
        <v>20</v>
      </c>
      <c r="J411" s="3" t="s">
        <v>21</v>
      </c>
      <c r="K411" s="3" t="s">
        <v>77</v>
      </c>
      <c r="L411" s="4">
        <v>0.38194444444444442</v>
      </c>
      <c r="M411" s="3" t="s">
        <v>261</v>
      </c>
      <c r="N411" s="3" t="s">
        <v>24</v>
      </c>
      <c r="O411" s="3" t="s">
        <v>25</v>
      </c>
    </row>
    <row r="412" spans="1:15">
      <c r="A412" s="3" t="s">
        <v>15</v>
      </c>
      <c r="B412" s="3" t="str">
        <f>"FES1162739774"</f>
        <v>FES1162739774</v>
      </c>
      <c r="C412" s="3" t="s">
        <v>22</v>
      </c>
      <c r="D412" s="3">
        <v>0</v>
      </c>
      <c r="E412" s="3">
        <v>2170731426</v>
      </c>
      <c r="F412" s="3" t="s">
        <v>17</v>
      </c>
      <c r="G412" s="3" t="s">
        <v>18</v>
      </c>
      <c r="H412" s="3" t="s">
        <v>18</v>
      </c>
      <c r="I412" s="3" t="s">
        <v>171</v>
      </c>
      <c r="J412" s="3" t="s">
        <v>194</v>
      </c>
      <c r="K412" s="3" t="s">
        <v>77</v>
      </c>
      <c r="L412" s="4">
        <v>0.36388888888888887</v>
      </c>
      <c r="M412" s="3" t="s">
        <v>182</v>
      </c>
      <c r="N412" s="3" t="s">
        <v>24</v>
      </c>
      <c r="O412" s="3" t="s">
        <v>25</v>
      </c>
    </row>
    <row r="413" spans="1:15">
      <c r="A413" s="3" t="s">
        <v>15</v>
      </c>
      <c r="B413" s="3" t="str">
        <f>"FES1162739800"</f>
        <v>FES1162739800</v>
      </c>
      <c r="C413" s="3" t="s">
        <v>22</v>
      </c>
      <c r="D413" s="3">
        <v>1</v>
      </c>
      <c r="E413" s="3">
        <v>2170729983</v>
      </c>
      <c r="F413" s="3" t="s">
        <v>17</v>
      </c>
      <c r="G413" s="3" t="s">
        <v>18</v>
      </c>
      <c r="H413" s="3" t="s">
        <v>18</v>
      </c>
      <c r="I413" s="3" t="s">
        <v>33</v>
      </c>
      <c r="J413" s="3" t="s">
        <v>93</v>
      </c>
      <c r="K413" s="3" t="s">
        <v>77</v>
      </c>
      <c r="L413" s="4">
        <v>0.375</v>
      </c>
      <c r="M413" s="3" t="s">
        <v>94</v>
      </c>
      <c r="N413" s="3" t="s">
        <v>24</v>
      </c>
      <c r="O413" s="3" t="s">
        <v>25</v>
      </c>
    </row>
    <row r="414" spans="1:15">
      <c r="A414" s="3" t="s">
        <v>15</v>
      </c>
      <c r="B414" s="3" t="str">
        <f>"FES1162739816"</f>
        <v>FES1162739816</v>
      </c>
      <c r="C414" s="3" t="s">
        <v>22</v>
      </c>
      <c r="D414" s="3">
        <v>1</v>
      </c>
      <c r="E414" s="3">
        <v>2170734157</v>
      </c>
      <c r="F414" s="3" t="s">
        <v>17</v>
      </c>
      <c r="G414" s="3" t="s">
        <v>18</v>
      </c>
      <c r="H414" s="3" t="s">
        <v>19</v>
      </c>
      <c r="I414" s="3" t="s">
        <v>20</v>
      </c>
      <c r="J414" s="3" t="s">
        <v>21</v>
      </c>
      <c r="K414" s="3" t="s">
        <v>77</v>
      </c>
      <c r="L414" s="4">
        <v>0.38194444444444442</v>
      </c>
      <c r="M414" s="3" t="s">
        <v>261</v>
      </c>
      <c r="N414" s="3" t="s">
        <v>24</v>
      </c>
      <c r="O414" s="3" t="s">
        <v>25</v>
      </c>
    </row>
    <row r="415" spans="1:15">
      <c r="A415" s="3" t="s">
        <v>15</v>
      </c>
      <c r="B415" s="3" t="str">
        <f>"FES1162739797"</f>
        <v>FES1162739797</v>
      </c>
      <c r="C415" s="3" t="s">
        <v>22</v>
      </c>
      <c r="D415" s="3">
        <v>1</v>
      </c>
      <c r="E415" s="3">
        <v>2170728747</v>
      </c>
      <c r="F415" s="3" t="s">
        <v>17</v>
      </c>
      <c r="G415" s="3" t="s">
        <v>18</v>
      </c>
      <c r="H415" s="3" t="s">
        <v>18</v>
      </c>
      <c r="I415" s="3" t="s">
        <v>33</v>
      </c>
      <c r="J415" s="3" t="s">
        <v>559</v>
      </c>
      <c r="K415" s="3" t="s">
        <v>77</v>
      </c>
      <c r="L415" s="4">
        <v>0.41666666666666669</v>
      </c>
      <c r="M415" s="3" t="s">
        <v>560</v>
      </c>
      <c r="N415" s="3" t="s">
        <v>24</v>
      </c>
      <c r="O415" s="3" t="s">
        <v>25</v>
      </c>
    </row>
    <row r="416" spans="1:15">
      <c r="A416" s="3" t="s">
        <v>15</v>
      </c>
      <c r="B416" s="3" t="str">
        <f>"FES1162739621"</f>
        <v>FES1162739621</v>
      </c>
      <c r="C416" s="3" t="s">
        <v>22</v>
      </c>
      <c r="D416" s="3">
        <v>0</v>
      </c>
      <c r="E416" s="3">
        <v>2170728698</v>
      </c>
      <c r="F416" s="3" t="s">
        <v>17</v>
      </c>
      <c r="G416" s="3" t="s">
        <v>18</v>
      </c>
      <c r="H416" s="3" t="s">
        <v>18</v>
      </c>
      <c r="I416" s="3" t="s">
        <v>33</v>
      </c>
      <c r="J416" s="3" t="s">
        <v>561</v>
      </c>
      <c r="K416" s="3" t="s">
        <v>77</v>
      </c>
      <c r="L416" s="4">
        <v>0.375</v>
      </c>
      <c r="M416" s="3" t="s">
        <v>562</v>
      </c>
      <c r="N416" s="3" t="s">
        <v>24</v>
      </c>
      <c r="O416" s="3" t="s">
        <v>25</v>
      </c>
    </row>
    <row r="417" spans="1:15">
      <c r="A417" s="3" t="s">
        <v>15</v>
      </c>
      <c r="B417" s="3" t="str">
        <f>"FES1162739617"</f>
        <v>FES1162739617</v>
      </c>
      <c r="C417" s="3" t="s">
        <v>22</v>
      </c>
      <c r="D417" s="3">
        <v>0</v>
      </c>
      <c r="E417" s="3">
        <v>2170727999</v>
      </c>
      <c r="F417" s="3" t="s">
        <v>17</v>
      </c>
      <c r="G417" s="3" t="s">
        <v>18</v>
      </c>
      <c r="H417" s="3" t="s">
        <v>18</v>
      </c>
      <c r="I417" s="3" t="s">
        <v>29</v>
      </c>
      <c r="J417" s="3" t="s">
        <v>563</v>
      </c>
      <c r="K417" s="3" t="s">
        <v>77</v>
      </c>
      <c r="L417" s="4">
        <v>0.33333333333333331</v>
      </c>
      <c r="M417" s="3" t="s">
        <v>564</v>
      </c>
      <c r="N417" s="3" t="s">
        <v>24</v>
      </c>
      <c r="O417" s="3" t="s">
        <v>25</v>
      </c>
    </row>
    <row r="418" spans="1:15">
      <c r="A418" s="3" t="s">
        <v>15</v>
      </c>
      <c r="B418" s="3" t="str">
        <f>"FES1162739773"</f>
        <v>FES1162739773</v>
      </c>
      <c r="C418" s="3" t="s">
        <v>22</v>
      </c>
      <c r="D418" s="3">
        <v>1</v>
      </c>
      <c r="E418" s="3">
        <v>2170731425</v>
      </c>
      <c r="F418" s="3" t="s">
        <v>17</v>
      </c>
      <c r="G418" s="3" t="s">
        <v>18</v>
      </c>
      <c r="H418" s="3" t="s">
        <v>18</v>
      </c>
      <c r="I418" s="3" t="s">
        <v>222</v>
      </c>
      <c r="J418" s="3" t="s">
        <v>223</v>
      </c>
      <c r="K418" s="3" t="s">
        <v>77</v>
      </c>
      <c r="L418" s="4">
        <v>0.41666666666666669</v>
      </c>
      <c r="M418" s="3" t="s">
        <v>565</v>
      </c>
      <c r="N418" s="3" t="s">
        <v>24</v>
      </c>
      <c r="O418" s="3" t="s">
        <v>25</v>
      </c>
    </row>
    <row r="419" spans="1:15">
      <c r="A419" s="3" t="s">
        <v>15</v>
      </c>
      <c r="B419" s="3" t="str">
        <f>"FES1162739814"</f>
        <v>FES1162739814</v>
      </c>
      <c r="C419" s="3" t="s">
        <v>22</v>
      </c>
      <c r="D419" s="3">
        <v>1</v>
      </c>
      <c r="E419" s="3">
        <v>2170731454</v>
      </c>
      <c r="F419" s="3" t="s">
        <v>17</v>
      </c>
      <c r="G419" s="3" t="s">
        <v>18</v>
      </c>
      <c r="H419" s="3" t="s">
        <v>19</v>
      </c>
      <c r="I419" s="3" t="s">
        <v>445</v>
      </c>
      <c r="J419" s="3" t="s">
        <v>566</v>
      </c>
      <c r="K419" s="3" t="s">
        <v>77</v>
      </c>
      <c r="L419" s="4">
        <v>0.41875000000000001</v>
      </c>
      <c r="M419" s="3" t="s">
        <v>567</v>
      </c>
      <c r="N419" s="3" t="s">
        <v>24</v>
      </c>
      <c r="O419" s="3" t="s">
        <v>25</v>
      </c>
    </row>
    <row r="420" spans="1:15">
      <c r="A420" s="3" t="s">
        <v>15</v>
      </c>
      <c r="B420" s="3" t="str">
        <f>"FES1162739860"</f>
        <v>FES1162739860</v>
      </c>
      <c r="C420" s="3" t="s">
        <v>22</v>
      </c>
      <c r="D420" s="3">
        <v>1</v>
      </c>
      <c r="E420" s="3">
        <v>2170731494</v>
      </c>
      <c r="F420" s="3" t="s">
        <v>17</v>
      </c>
      <c r="G420" s="3" t="s">
        <v>18</v>
      </c>
      <c r="H420" s="3" t="s">
        <v>18</v>
      </c>
      <c r="I420" s="3" t="s">
        <v>29</v>
      </c>
      <c r="J420" s="3" t="s">
        <v>568</v>
      </c>
      <c r="K420" s="3" t="s">
        <v>77</v>
      </c>
      <c r="L420" s="4">
        <v>0.43194444444444446</v>
      </c>
      <c r="M420" s="3" t="s">
        <v>569</v>
      </c>
      <c r="N420" s="3" t="s">
        <v>24</v>
      </c>
      <c r="O420" s="3" t="s">
        <v>25</v>
      </c>
    </row>
    <row r="421" spans="1:15">
      <c r="A421" s="3" t="s">
        <v>15</v>
      </c>
      <c r="B421" s="3" t="str">
        <f>"FES1162739783"</f>
        <v>FES1162739783</v>
      </c>
      <c r="C421" s="3" t="s">
        <v>22</v>
      </c>
      <c r="D421" s="3">
        <v>1</v>
      </c>
      <c r="E421" s="3">
        <v>21707314325</v>
      </c>
      <c r="F421" s="3" t="s">
        <v>17</v>
      </c>
      <c r="G421" s="3" t="s">
        <v>18</v>
      </c>
      <c r="H421" s="3" t="s">
        <v>18</v>
      </c>
      <c r="I421" s="3" t="s">
        <v>33</v>
      </c>
      <c r="J421" s="3" t="s">
        <v>570</v>
      </c>
      <c r="K421" s="3" t="s">
        <v>77</v>
      </c>
      <c r="L421" s="4">
        <v>0.31388888888888888</v>
      </c>
      <c r="M421" s="3" t="s">
        <v>571</v>
      </c>
      <c r="N421" s="3" t="s">
        <v>24</v>
      </c>
      <c r="O421" s="3" t="s">
        <v>25</v>
      </c>
    </row>
    <row r="422" spans="1:15">
      <c r="A422" s="3" t="s">
        <v>15</v>
      </c>
      <c r="B422" s="3" t="str">
        <f>"FES1162739805"</f>
        <v>FES1162739805</v>
      </c>
      <c r="C422" s="3" t="s">
        <v>22</v>
      </c>
      <c r="D422" s="3">
        <v>0</v>
      </c>
      <c r="E422" s="3">
        <v>2170731452</v>
      </c>
      <c r="F422" s="3" t="s">
        <v>17</v>
      </c>
      <c r="G422" s="3" t="s">
        <v>18</v>
      </c>
      <c r="H422" s="3" t="s">
        <v>66</v>
      </c>
      <c r="I422" s="3" t="s">
        <v>67</v>
      </c>
      <c r="J422" s="3" t="s">
        <v>298</v>
      </c>
      <c r="K422" s="3" t="s">
        <v>77</v>
      </c>
      <c r="L422" s="4">
        <v>0.36805555555555558</v>
      </c>
      <c r="M422" s="3" t="s">
        <v>299</v>
      </c>
      <c r="N422" s="3" t="s">
        <v>24</v>
      </c>
      <c r="O422" s="3" t="s">
        <v>25</v>
      </c>
    </row>
    <row r="423" spans="1:15">
      <c r="A423" s="3" t="s">
        <v>15</v>
      </c>
      <c r="B423" s="3" t="str">
        <f>"FES1162739812"</f>
        <v>FES1162739812</v>
      </c>
      <c r="C423" s="3" t="s">
        <v>22</v>
      </c>
      <c r="D423" s="3">
        <v>0</v>
      </c>
      <c r="E423" s="3">
        <v>2170731445</v>
      </c>
      <c r="F423" s="3" t="s">
        <v>17</v>
      </c>
      <c r="G423" s="3" t="s">
        <v>18</v>
      </c>
      <c r="H423" s="3" t="s">
        <v>18</v>
      </c>
      <c r="I423" s="3" t="s">
        <v>313</v>
      </c>
      <c r="J423" s="3" t="s">
        <v>572</v>
      </c>
      <c r="K423" s="3" t="s">
        <v>77</v>
      </c>
      <c r="L423" s="4">
        <v>0.375</v>
      </c>
      <c r="M423" s="3" t="s">
        <v>573</v>
      </c>
      <c r="N423" s="3" t="s">
        <v>24</v>
      </c>
      <c r="O423" s="3" t="s">
        <v>25</v>
      </c>
    </row>
    <row r="424" spans="1:15">
      <c r="A424" s="3" t="s">
        <v>15</v>
      </c>
      <c r="B424" s="3" t="str">
        <f>"FES1162739817"</f>
        <v>FES1162739817</v>
      </c>
      <c r="C424" s="3" t="s">
        <v>22</v>
      </c>
      <c r="D424" s="3">
        <v>1</v>
      </c>
      <c r="E424" s="3">
        <v>2170731458</v>
      </c>
      <c r="F424" s="3" t="s">
        <v>17</v>
      </c>
      <c r="G424" s="3" t="s">
        <v>18</v>
      </c>
      <c r="H424" s="3" t="s">
        <v>18</v>
      </c>
      <c r="I424" s="3" t="s">
        <v>33</v>
      </c>
      <c r="J424" s="3" t="s">
        <v>34</v>
      </c>
      <c r="K424" s="3" t="s">
        <v>77</v>
      </c>
      <c r="L424" s="4">
        <v>0.39305555555555555</v>
      </c>
      <c r="M424" s="3" t="s">
        <v>35</v>
      </c>
      <c r="N424" s="3" t="s">
        <v>24</v>
      </c>
      <c r="O424" s="3" t="s">
        <v>25</v>
      </c>
    </row>
    <row r="425" spans="1:15">
      <c r="A425" s="3" t="s">
        <v>15</v>
      </c>
      <c r="B425" s="3" t="str">
        <f>"FES1162739622"</f>
        <v>FES1162739622</v>
      </c>
      <c r="C425" s="3" t="s">
        <v>22</v>
      </c>
      <c r="D425" s="3">
        <v>0</v>
      </c>
      <c r="E425" s="3">
        <v>2170728855</v>
      </c>
      <c r="F425" s="3" t="s">
        <v>17</v>
      </c>
      <c r="G425" s="3" t="s">
        <v>18</v>
      </c>
      <c r="H425" s="3" t="s">
        <v>18</v>
      </c>
      <c r="I425" s="3" t="s">
        <v>33</v>
      </c>
      <c r="J425" s="3" t="s">
        <v>413</v>
      </c>
      <c r="K425" s="3" t="s">
        <v>77</v>
      </c>
      <c r="L425" s="4">
        <v>0.30555555555555552</v>
      </c>
      <c r="M425" s="3" t="s">
        <v>414</v>
      </c>
      <c r="N425" s="3" t="s">
        <v>24</v>
      </c>
      <c r="O425" s="3" t="s">
        <v>25</v>
      </c>
    </row>
    <row r="426" spans="1:15">
      <c r="A426" s="3" t="s">
        <v>15</v>
      </c>
      <c r="B426" s="3" t="str">
        <f>"FES1162739777"</f>
        <v>FES1162739777</v>
      </c>
      <c r="C426" s="3" t="s">
        <v>22</v>
      </c>
      <c r="D426" s="3">
        <v>0</v>
      </c>
      <c r="E426" s="3">
        <v>2170731251</v>
      </c>
      <c r="F426" s="3" t="s">
        <v>17</v>
      </c>
      <c r="G426" s="3" t="s">
        <v>18</v>
      </c>
      <c r="H426" s="3" t="s">
        <v>18</v>
      </c>
      <c r="I426" s="3" t="s">
        <v>313</v>
      </c>
      <c r="J426" s="3" t="s">
        <v>572</v>
      </c>
      <c r="K426" s="3" t="s">
        <v>77</v>
      </c>
      <c r="L426" s="4">
        <v>0.375</v>
      </c>
      <c r="M426" s="3" t="s">
        <v>573</v>
      </c>
      <c r="N426" s="3" t="s">
        <v>24</v>
      </c>
      <c r="O426" s="3" t="s">
        <v>25</v>
      </c>
    </row>
    <row r="427" spans="1:15">
      <c r="A427" s="3" t="s">
        <v>15</v>
      </c>
      <c r="B427" s="3" t="str">
        <f>"FES1162739820"</f>
        <v>FES1162739820</v>
      </c>
      <c r="C427" s="3" t="s">
        <v>22</v>
      </c>
      <c r="D427" s="3">
        <v>0</v>
      </c>
      <c r="E427" s="3">
        <v>2170731441</v>
      </c>
      <c r="F427" s="3" t="s">
        <v>17</v>
      </c>
      <c r="G427" s="3" t="s">
        <v>18</v>
      </c>
      <c r="H427" s="3" t="s">
        <v>18</v>
      </c>
      <c r="I427" s="3" t="s">
        <v>171</v>
      </c>
      <c r="J427" s="3" t="s">
        <v>574</v>
      </c>
      <c r="K427" s="3" t="s">
        <v>77</v>
      </c>
      <c r="L427" s="4">
        <v>0.36874999999999997</v>
      </c>
      <c r="M427" s="3" t="s">
        <v>575</v>
      </c>
      <c r="N427" s="3" t="s">
        <v>24</v>
      </c>
      <c r="O427" s="3" t="s">
        <v>25</v>
      </c>
    </row>
    <row r="428" spans="1:15">
      <c r="A428" s="3" t="s">
        <v>15</v>
      </c>
      <c r="B428" s="3" t="str">
        <f>"FES1162739746"</f>
        <v>FES1162739746</v>
      </c>
      <c r="C428" s="3" t="s">
        <v>22</v>
      </c>
      <c r="D428" s="3">
        <v>0</v>
      </c>
      <c r="E428" s="3">
        <v>2170731392</v>
      </c>
      <c r="F428" s="3" t="s">
        <v>17</v>
      </c>
      <c r="G428" s="3" t="s">
        <v>18</v>
      </c>
      <c r="H428" s="3" t="s">
        <v>19</v>
      </c>
      <c r="I428" s="3" t="s">
        <v>51</v>
      </c>
      <c r="J428" s="3" t="s">
        <v>209</v>
      </c>
      <c r="K428" s="3" t="s">
        <v>77</v>
      </c>
      <c r="L428" s="4">
        <v>0.36180555555555555</v>
      </c>
      <c r="M428" s="3" t="s">
        <v>235</v>
      </c>
      <c r="N428" s="3" t="s">
        <v>24</v>
      </c>
      <c r="O428" s="3" t="s">
        <v>25</v>
      </c>
    </row>
    <row r="429" spans="1:15">
      <c r="A429" s="3" t="s">
        <v>15</v>
      </c>
      <c r="B429" s="3" t="str">
        <f>"FES1162739823"</f>
        <v>FES1162739823</v>
      </c>
      <c r="C429" s="3" t="s">
        <v>22</v>
      </c>
      <c r="D429" s="3">
        <v>1</v>
      </c>
      <c r="E429" s="3">
        <v>2170731464</v>
      </c>
      <c r="F429" s="3" t="s">
        <v>17</v>
      </c>
      <c r="G429" s="3" t="s">
        <v>18</v>
      </c>
      <c r="H429" s="3" t="s">
        <v>19</v>
      </c>
      <c r="I429" s="3" t="s">
        <v>20</v>
      </c>
      <c r="J429" s="3" t="s">
        <v>21</v>
      </c>
      <c r="K429" s="3" t="s">
        <v>77</v>
      </c>
      <c r="L429" s="4">
        <v>0.38194444444444442</v>
      </c>
      <c r="M429" s="3" t="s">
        <v>261</v>
      </c>
      <c r="N429" s="3" t="s">
        <v>24</v>
      </c>
      <c r="O429" s="3" t="s">
        <v>25</v>
      </c>
    </row>
    <row r="430" spans="1:15">
      <c r="A430" s="3" t="s">
        <v>15</v>
      </c>
      <c r="B430" s="3" t="str">
        <f>"FES1162739740"</f>
        <v>FES1162739740</v>
      </c>
      <c r="C430" s="3" t="s">
        <v>22</v>
      </c>
      <c r="D430" s="3">
        <v>1</v>
      </c>
      <c r="E430" s="3">
        <v>2170731387</v>
      </c>
      <c r="F430" s="3" t="s">
        <v>17</v>
      </c>
      <c r="G430" s="3" t="s">
        <v>18</v>
      </c>
      <c r="H430" s="3" t="s">
        <v>70</v>
      </c>
      <c r="I430" s="3" t="s">
        <v>71</v>
      </c>
      <c r="J430" s="3" t="s">
        <v>248</v>
      </c>
      <c r="K430" s="3" t="s">
        <v>77</v>
      </c>
      <c r="L430" s="4">
        <v>0.51666666666666672</v>
      </c>
      <c r="M430" s="3" t="s">
        <v>249</v>
      </c>
      <c r="N430" s="3" t="s">
        <v>24</v>
      </c>
      <c r="O430" s="3" t="s">
        <v>25</v>
      </c>
    </row>
    <row r="431" spans="1:15">
      <c r="A431" s="3" t="s">
        <v>15</v>
      </c>
      <c r="B431" s="3" t="str">
        <f>"FES1162739843"</f>
        <v>FES1162739843</v>
      </c>
      <c r="C431" s="3" t="s">
        <v>22</v>
      </c>
      <c r="D431" s="3">
        <v>1</v>
      </c>
      <c r="E431" s="3">
        <v>2170731482</v>
      </c>
      <c r="F431" s="3" t="s">
        <v>17</v>
      </c>
      <c r="G431" s="3" t="s">
        <v>18</v>
      </c>
      <c r="H431" s="3" t="s">
        <v>19</v>
      </c>
      <c r="I431" s="3" t="s">
        <v>20</v>
      </c>
      <c r="J431" s="3" t="s">
        <v>576</v>
      </c>
      <c r="K431" s="3" t="s">
        <v>77</v>
      </c>
      <c r="L431" s="4">
        <v>0.40833333333333338</v>
      </c>
      <c r="M431" s="3" t="s">
        <v>577</v>
      </c>
      <c r="N431" s="3" t="s">
        <v>24</v>
      </c>
      <c r="O431" s="3" t="s">
        <v>25</v>
      </c>
    </row>
    <row r="432" spans="1:15">
      <c r="A432" s="3" t="s">
        <v>15</v>
      </c>
      <c r="B432" s="3" t="str">
        <f>"FES1162739438"</f>
        <v>FES1162739438</v>
      </c>
      <c r="C432" s="3" t="s">
        <v>22</v>
      </c>
      <c r="D432" s="3">
        <v>3</v>
      </c>
      <c r="E432" s="3">
        <v>217073483</v>
      </c>
      <c r="F432" s="3" t="s">
        <v>17</v>
      </c>
      <c r="G432" s="3" t="s">
        <v>18</v>
      </c>
      <c r="H432" s="3" t="s">
        <v>66</v>
      </c>
      <c r="I432" s="3" t="s">
        <v>67</v>
      </c>
      <c r="J432" s="3" t="s">
        <v>578</v>
      </c>
      <c r="K432" s="3" t="s">
        <v>77</v>
      </c>
      <c r="L432" s="4">
        <v>0.4236111111111111</v>
      </c>
      <c r="M432" s="3" t="s">
        <v>579</v>
      </c>
      <c r="N432" s="3" t="s">
        <v>24</v>
      </c>
      <c r="O432" s="3" t="s">
        <v>25</v>
      </c>
    </row>
    <row r="433" spans="1:15">
      <c r="A433" s="3" t="s">
        <v>15</v>
      </c>
      <c r="B433" s="3" t="str">
        <f>"FES1162739744"</f>
        <v>FES1162739744</v>
      </c>
      <c r="C433" s="3" t="s">
        <v>22</v>
      </c>
      <c r="D433" s="3">
        <v>1</v>
      </c>
      <c r="E433" s="3">
        <v>2170736839</v>
      </c>
      <c r="F433" s="3" t="s">
        <v>17</v>
      </c>
      <c r="G433" s="3" t="s">
        <v>18</v>
      </c>
      <c r="H433" s="3" t="s">
        <v>18</v>
      </c>
      <c r="I433" s="3" t="s">
        <v>580</v>
      </c>
      <c r="J433" s="3" t="s">
        <v>581</v>
      </c>
      <c r="K433" s="3" t="s">
        <v>77</v>
      </c>
      <c r="L433" s="4">
        <v>0.33333333333333331</v>
      </c>
      <c r="M433" s="3" t="s">
        <v>582</v>
      </c>
      <c r="N433" s="3" t="s">
        <v>24</v>
      </c>
      <c r="O433" s="3" t="s">
        <v>25</v>
      </c>
    </row>
    <row r="434" spans="1:15">
      <c r="A434" s="3" t="s">
        <v>15</v>
      </c>
      <c r="B434" s="3" t="str">
        <f>"FES1162739852"</f>
        <v>FES1162739852</v>
      </c>
      <c r="C434" s="3" t="s">
        <v>22</v>
      </c>
      <c r="D434" s="3">
        <v>0</v>
      </c>
      <c r="E434" s="3">
        <v>2170731487</v>
      </c>
      <c r="F434" s="3" t="s">
        <v>17</v>
      </c>
      <c r="G434" s="3" t="s">
        <v>18</v>
      </c>
      <c r="H434" s="3" t="s">
        <v>18</v>
      </c>
      <c r="I434" s="3" t="s">
        <v>29</v>
      </c>
      <c r="J434" s="3" t="s">
        <v>493</v>
      </c>
      <c r="K434" s="3" t="s">
        <v>77</v>
      </c>
      <c r="L434" s="4">
        <v>0.29166666666666669</v>
      </c>
      <c r="M434" s="3" t="s">
        <v>494</v>
      </c>
      <c r="N434" s="3" t="s">
        <v>24</v>
      </c>
      <c r="O434" s="3" t="s">
        <v>25</v>
      </c>
    </row>
    <row r="435" spans="1:15">
      <c r="A435" s="3" t="s">
        <v>15</v>
      </c>
      <c r="B435" s="3" t="str">
        <f>"FES1162739775"</f>
        <v>FES1162739775</v>
      </c>
      <c r="C435" s="3" t="s">
        <v>22</v>
      </c>
      <c r="D435" s="3">
        <v>0</v>
      </c>
      <c r="E435" s="3">
        <v>2170731084</v>
      </c>
      <c r="F435" s="3" t="s">
        <v>17</v>
      </c>
      <c r="G435" s="3" t="s">
        <v>18</v>
      </c>
      <c r="H435" s="3" t="s">
        <v>18</v>
      </c>
      <c r="I435" s="3" t="s">
        <v>206</v>
      </c>
      <c r="J435" s="3" t="s">
        <v>583</v>
      </c>
      <c r="K435" s="3" t="s">
        <v>77</v>
      </c>
      <c r="L435" s="4">
        <v>0.43055555555555558</v>
      </c>
      <c r="M435" s="3" t="s">
        <v>584</v>
      </c>
      <c r="N435" s="3" t="s">
        <v>24</v>
      </c>
      <c r="O435" s="3" t="s">
        <v>25</v>
      </c>
    </row>
    <row r="436" spans="1:15">
      <c r="A436" s="3" t="s">
        <v>15</v>
      </c>
      <c r="B436" s="3" t="str">
        <f>"FES1162739796"</f>
        <v>FES1162739796</v>
      </c>
      <c r="C436" s="3" t="s">
        <v>22</v>
      </c>
      <c r="D436" s="3">
        <v>1</v>
      </c>
      <c r="E436" s="3">
        <v>2170728296</v>
      </c>
      <c r="F436" s="3" t="s">
        <v>17</v>
      </c>
      <c r="G436" s="3" t="s">
        <v>18</v>
      </c>
      <c r="H436" s="3" t="s">
        <v>36</v>
      </c>
      <c r="I436" s="3" t="s">
        <v>37</v>
      </c>
      <c r="J436" s="3" t="s">
        <v>585</v>
      </c>
      <c r="K436" s="3" t="s">
        <v>77</v>
      </c>
      <c r="L436" s="4">
        <v>0.41597222222222219</v>
      </c>
      <c r="M436" s="3" t="s">
        <v>586</v>
      </c>
      <c r="N436" s="3" t="s">
        <v>24</v>
      </c>
      <c r="O436" s="3" t="s">
        <v>25</v>
      </c>
    </row>
    <row r="437" spans="1:15">
      <c r="A437" s="3" t="s">
        <v>15</v>
      </c>
      <c r="B437" s="3" t="str">
        <f>"FES1162739845"</f>
        <v>FES1162739845</v>
      </c>
      <c r="C437" s="3" t="s">
        <v>22</v>
      </c>
      <c r="D437" s="3">
        <v>1</v>
      </c>
      <c r="E437" s="3">
        <v>2170731297</v>
      </c>
      <c r="F437" s="3" t="s">
        <v>17</v>
      </c>
      <c r="G437" s="3" t="s">
        <v>18</v>
      </c>
      <c r="H437" s="3" t="s">
        <v>18</v>
      </c>
      <c r="I437" s="3" t="s">
        <v>309</v>
      </c>
      <c r="J437" s="3" t="s">
        <v>278</v>
      </c>
      <c r="K437" s="3" t="s">
        <v>77</v>
      </c>
      <c r="L437" s="4">
        <v>0.39097222222222222</v>
      </c>
      <c r="M437" s="3" t="s">
        <v>587</v>
      </c>
      <c r="N437" s="3" t="s">
        <v>24</v>
      </c>
      <c r="O437" s="3" t="s">
        <v>25</v>
      </c>
    </row>
    <row r="438" spans="1:15">
      <c r="A438" s="3" t="s">
        <v>15</v>
      </c>
      <c r="B438" s="3" t="str">
        <f>"FES1162739764"</f>
        <v>FES1162739764</v>
      </c>
      <c r="C438" s="3" t="s">
        <v>22</v>
      </c>
      <c r="D438" s="3">
        <v>1</v>
      </c>
      <c r="E438" s="3">
        <v>2170729321</v>
      </c>
      <c r="F438" s="3" t="s">
        <v>17</v>
      </c>
      <c r="G438" s="3" t="s">
        <v>18</v>
      </c>
      <c r="H438" s="3" t="s">
        <v>36</v>
      </c>
      <c r="I438" s="3" t="s">
        <v>37</v>
      </c>
      <c r="J438" s="3" t="s">
        <v>483</v>
      </c>
      <c r="K438" s="3" t="s">
        <v>77</v>
      </c>
      <c r="L438" s="4">
        <v>0.35138888888888892</v>
      </c>
      <c r="M438" s="3" t="s">
        <v>588</v>
      </c>
      <c r="N438" s="3" t="s">
        <v>24</v>
      </c>
      <c r="O438" s="3" t="s">
        <v>25</v>
      </c>
    </row>
    <row r="439" spans="1:15">
      <c r="A439" s="3" t="s">
        <v>15</v>
      </c>
      <c r="B439" s="3" t="str">
        <f>"FES1162739776"</f>
        <v>FES1162739776</v>
      </c>
      <c r="C439" s="3" t="s">
        <v>22</v>
      </c>
      <c r="D439" s="3">
        <v>1</v>
      </c>
      <c r="E439" s="3">
        <v>21707311459</v>
      </c>
      <c r="F439" s="3" t="s">
        <v>17</v>
      </c>
      <c r="G439" s="3" t="s">
        <v>18</v>
      </c>
      <c r="H439" s="3" t="s">
        <v>36</v>
      </c>
      <c r="I439" s="3" t="s">
        <v>330</v>
      </c>
      <c r="J439" s="3" t="s">
        <v>58</v>
      </c>
      <c r="K439" s="3" t="s">
        <v>77</v>
      </c>
      <c r="L439" s="4">
        <v>0.40833333333333338</v>
      </c>
      <c r="M439" s="3" t="s">
        <v>589</v>
      </c>
      <c r="N439" s="3" t="s">
        <v>24</v>
      </c>
      <c r="O439" s="3" t="s">
        <v>25</v>
      </c>
    </row>
    <row r="440" spans="1:15">
      <c r="A440" s="3" t="s">
        <v>15</v>
      </c>
      <c r="B440" s="3" t="str">
        <f>"FES1162739811"</f>
        <v>FES1162739811</v>
      </c>
      <c r="C440" s="3" t="s">
        <v>22</v>
      </c>
      <c r="D440" s="3">
        <v>0</v>
      </c>
      <c r="E440" s="3">
        <v>2170730534</v>
      </c>
      <c r="F440" s="3" t="s">
        <v>17</v>
      </c>
      <c r="G440" s="3" t="s">
        <v>18</v>
      </c>
      <c r="H440" s="3" t="s">
        <v>66</v>
      </c>
      <c r="I440" s="3" t="s">
        <v>158</v>
      </c>
      <c r="J440" s="3" t="s">
        <v>159</v>
      </c>
      <c r="K440" s="3" t="s">
        <v>77</v>
      </c>
      <c r="L440" s="4">
        <v>0.63888888888888895</v>
      </c>
      <c r="M440" s="3" t="s">
        <v>160</v>
      </c>
      <c r="N440" s="3" t="s">
        <v>24</v>
      </c>
      <c r="O440" s="3" t="s">
        <v>25</v>
      </c>
    </row>
    <row r="441" spans="1:15">
      <c r="A441" s="3" t="s">
        <v>15</v>
      </c>
      <c r="B441" s="3" t="str">
        <f>"FES1162739772"</f>
        <v>FES1162739772</v>
      </c>
      <c r="C441" s="3" t="s">
        <v>22</v>
      </c>
      <c r="D441" s="3">
        <v>1</v>
      </c>
      <c r="E441" s="3">
        <v>2170731424</v>
      </c>
      <c r="F441" s="3" t="s">
        <v>17</v>
      </c>
      <c r="G441" s="3" t="s">
        <v>18</v>
      </c>
      <c r="H441" s="3" t="s">
        <v>18</v>
      </c>
      <c r="I441" s="3" t="s">
        <v>222</v>
      </c>
      <c r="J441" s="3" t="s">
        <v>223</v>
      </c>
      <c r="K441" s="3" t="s">
        <v>77</v>
      </c>
      <c r="L441" s="4">
        <v>0.43402777777777773</v>
      </c>
      <c r="M441" s="3" t="s">
        <v>565</v>
      </c>
      <c r="N441" s="3" t="s">
        <v>24</v>
      </c>
      <c r="O441" s="3" t="s">
        <v>25</v>
      </c>
    </row>
    <row r="442" spans="1:15">
      <c r="A442" s="5" t="s">
        <v>15</v>
      </c>
      <c r="B442" s="5" t="str">
        <f>"FES1162739863"</f>
        <v>FES1162739863</v>
      </c>
      <c r="C442" s="5" t="s">
        <v>22</v>
      </c>
      <c r="D442" s="5">
        <v>1</v>
      </c>
      <c r="E442" s="5">
        <v>2170731499</v>
      </c>
      <c r="F442" s="5" t="s">
        <v>17</v>
      </c>
      <c r="G442" s="5" t="s">
        <v>18</v>
      </c>
      <c r="H442" s="5" t="s">
        <v>66</v>
      </c>
      <c r="I442" s="5" t="s">
        <v>177</v>
      </c>
      <c r="J442" s="5" t="s">
        <v>590</v>
      </c>
      <c r="K442" s="5" t="s">
        <v>77</v>
      </c>
      <c r="L442" s="6">
        <v>0.52777777777777779</v>
      </c>
      <c r="M442" s="5" t="s">
        <v>591</v>
      </c>
      <c r="N442" s="5" t="s">
        <v>24</v>
      </c>
      <c r="O442" s="5" t="s">
        <v>25</v>
      </c>
    </row>
    <row r="443" spans="1:15">
      <c r="A443" s="5" t="s">
        <v>15</v>
      </c>
      <c r="B443" s="5" t="str">
        <f>"FES1162739759"</f>
        <v>FES1162739759</v>
      </c>
      <c r="C443" s="5" t="s">
        <v>22</v>
      </c>
      <c r="D443" s="5">
        <v>0</v>
      </c>
      <c r="E443" s="5">
        <v>2170731405</v>
      </c>
      <c r="F443" s="5" t="s">
        <v>17</v>
      </c>
      <c r="G443" s="5" t="s">
        <v>18</v>
      </c>
      <c r="H443" s="5" t="s">
        <v>18</v>
      </c>
      <c r="I443" s="5" t="s">
        <v>33</v>
      </c>
      <c r="J443" s="5" t="s">
        <v>34</v>
      </c>
      <c r="K443" s="5" t="s">
        <v>77</v>
      </c>
      <c r="L443" s="6">
        <v>0.39097222222222222</v>
      </c>
      <c r="M443" s="5" t="s">
        <v>444</v>
      </c>
      <c r="N443" s="5" t="s">
        <v>24</v>
      </c>
      <c r="O443" s="5" t="s">
        <v>25</v>
      </c>
    </row>
    <row r="444" spans="1:15">
      <c r="A444" s="5" t="s">
        <v>15</v>
      </c>
      <c r="B444" s="5" t="str">
        <f>"FES1162739835"</f>
        <v>FES1162739835</v>
      </c>
      <c r="C444" s="5" t="s">
        <v>22</v>
      </c>
      <c r="D444" s="5">
        <v>1</v>
      </c>
      <c r="E444" s="5">
        <v>2170731948</v>
      </c>
      <c r="F444" s="5" t="s">
        <v>17</v>
      </c>
      <c r="G444" s="5" t="s">
        <v>18</v>
      </c>
      <c r="H444" s="5" t="s">
        <v>18</v>
      </c>
      <c r="I444" s="5" t="s">
        <v>171</v>
      </c>
      <c r="J444" s="5" t="s">
        <v>204</v>
      </c>
      <c r="K444" s="5" t="s">
        <v>77</v>
      </c>
      <c r="L444" s="6">
        <v>0.41666666666666669</v>
      </c>
      <c r="M444" s="5" t="s">
        <v>461</v>
      </c>
      <c r="N444" s="5" t="s">
        <v>24</v>
      </c>
      <c r="O444" s="5" t="s">
        <v>25</v>
      </c>
    </row>
    <row r="445" spans="1:15">
      <c r="A445" s="5" t="s">
        <v>15</v>
      </c>
      <c r="B445" s="5" t="str">
        <f>"FES1162739798"</f>
        <v>FES1162739798</v>
      </c>
      <c r="C445" s="5" t="s">
        <v>22</v>
      </c>
      <c r="D445" s="5">
        <v>1</v>
      </c>
      <c r="E445" s="5">
        <v>217072931</v>
      </c>
      <c r="F445" s="5" t="s">
        <v>17</v>
      </c>
      <c r="G445" s="5" t="s">
        <v>18</v>
      </c>
      <c r="H445" s="5" t="s">
        <v>18</v>
      </c>
      <c r="I445" s="5" t="s">
        <v>29</v>
      </c>
      <c r="J445" s="5" t="s">
        <v>74</v>
      </c>
      <c r="K445" s="5" t="s">
        <v>77</v>
      </c>
      <c r="L445" s="6">
        <v>0.41666666666666669</v>
      </c>
      <c r="M445" s="5" t="s">
        <v>592</v>
      </c>
      <c r="N445" s="5" t="s">
        <v>24</v>
      </c>
      <c r="O445" s="5" t="s">
        <v>25</v>
      </c>
    </row>
    <row r="446" spans="1:15">
      <c r="A446" s="5" t="s">
        <v>15</v>
      </c>
      <c r="B446" s="5" t="str">
        <f>"FES1162739778"</f>
        <v>FES1162739778</v>
      </c>
      <c r="C446" s="5" t="s">
        <v>22</v>
      </c>
      <c r="D446" s="5">
        <v>1</v>
      </c>
      <c r="E446" s="5">
        <v>2170731428</v>
      </c>
      <c r="F446" s="5" t="s">
        <v>17</v>
      </c>
      <c r="G446" s="5" t="s">
        <v>18</v>
      </c>
      <c r="H446" s="5" t="s">
        <v>36</v>
      </c>
      <c r="I446" s="5" t="s">
        <v>37</v>
      </c>
      <c r="J446" s="5" t="s">
        <v>593</v>
      </c>
      <c r="K446" s="5" t="s">
        <v>77</v>
      </c>
      <c r="L446" s="6">
        <v>0.37847222222222227</v>
      </c>
      <c r="M446" s="5" t="s">
        <v>594</v>
      </c>
      <c r="N446" s="5" t="s">
        <v>24</v>
      </c>
      <c r="O446" s="5" t="s">
        <v>25</v>
      </c>
    </row>
    <row r="447" spans="1:15">
      <c r="A447" s="5" t="s">
        <v>15</v>
      </c>
      <c r="B447" s="5" t="str">
        <f>"FES1162739855"</f>
        <v>FES1162739855</v>
      </c>
      <c r="C447" s="5" t="s">
        <v>22</v>
      </c>
      <c r="D447" s="5">
        <v>0</v>
      </c>
      <c r="E447" s="5">
        <v>2170731491</v>
      </c>
      <c r="F447" s="5" t="s">
        <v>17</v>
      </c>
      <c r="G447" s="5" t="s">
        <v>18</v>
      </c>
      <c r="H447" s="5" t="s">
        <v>18</v>
      </c>
      <c r="I447" s="5" t="s">
        <v>29</v>
      </c>
      <c r="J447" s="5" t="s">
        <v>568</v>
      </c>
      <c r="K447" s="5" t="s">
        <v>77</v>
      </c>
      <c r="L447" s="6">
        <v>0.4597222222222222</v>
      </c>
      <c r="M447" s="5" t="s">
        <v>595</v>
      </c>
      <c r="N447" s="5" t="s">
        <v>24</v>
      </c>
      <c r="O447" s="5" t="s">
        <v>25</v>
      </c>
    </row>
    <row r="448" spans="1:15">
      <c r="A448" s="5" t="s">
        <v>15</v>
      </c>
      <c r="B448" s="5" t="str">
        <f>"FES1162739844"</f>
        <v>FES1162739844</v>
      </c>
      <c r="C448" s="5" t="s">
        <v>22</v>
      </c>
      <c r="D448" s="5">
        <v>0</v>
      </c>
      <c r="E448" s="5">
        <v>2170731332</v>
      </c>
      <c r="F448" s="5" t="s">
        <v>17</v>
      </c>
      <c r="G448" s="5" t="s">
        <v>18</v>
      </c>
      <c r="H448" s="5" t="s">
        <v>36</v>
      </c>
      <c r="I448" s="5" t="s">
        <v>37</v>
      </c>
      <c r="J448" s="5" t="s">
        <v>187</v>
      </c>
      <c r="K448" s="5" t="s">
        <v>77</v>
      </c>
      <c r="L448" s="6">
        <v>0.33680555555555558</v>
      </c>
      <c r="M448" s="5" t="s">
        <v>188</v>
      </c>
      <c r="N448" s="5" t="s">
        <v>24</v>
      </c>
      <c r="O448" s="5" t="s">
        <v>25</v>
      </c>
    </row>
    <row r="449" spans="1:15">
      <c r="A449" s="5" t="s">
        <v>15</v>
      </c>
      <c r="B449" s="5" t="str">
        <f>"FES1162739750"</f>
        <v>FES1162739750</v>
      </c>
      <c r="C449" s="5" t="s">
        <v>22</v>
      </c>
      <c r="D449" s="5">
        <v>1</v>
      </c>
      <c r="E449" s="5">
        <v>2170731397</v>
      </c>
      <c r="F449" s="5" t="s">
        <v>17</v>
      </c>
      <c r="G449" s="5" t="s">
        <v>18</v>
      </c>
      <c r="H449" s="5" t="s">
        <v>36</v>
      </c>
      <c r="I449" s="5" t="s">
        <v>174</v>
      </c>
      <c r="J449" s="5" t="s">
        <v>451</v>
      </c>
      <c r="K449" s="5" t="s">
        <v>77</v>
      </c>
      <c r="L449" s="6">
        <v>0.33680555555555558</v>
      </c>
      <c r="M449" s="5" t="s">
        <v>452</v>
      </c>
      <c r="N449" s="5" t="s">
        <v>24</v>
      </c>
      <c r="O449" s="5" t="s">
        <v>25</v>
      </c>
    </row>
    <row r="450" spans="1:15">
      <c r="A450" s="5" t="s">
        <v>15</v>
      </c>
      <c r="B450" s="5" t="str">
        <f>"FES1162739749"</f>
        <v>FES1162739749</v>
      </c>
      <c r="C450" s="5" t="s">
        <v>22</v>
      </c>
      <c r="D450" s="5">
        <v>1</v>
      </c>
      <c r="E450" s="5">
        <v>2170731396</v>
      </c>
      <c r="F450" s="5" t="s">
        <v>17</v>
      </c>
      <c r="G450" s="5" t="s">
        <v>18</v>
      </c>
      <c r="H450" s="5" t="s">
        <v>36</v>
      </c>
      <c r="I450" s="5" t="s">
        <v>37</v>
      </c>
      <c r="J450" s="5" t="s">
        <v>378</v>
      </c>
      <c r="K450" s="5" t="s">
        <v>77</v>
      </c>
      <c r="L450" s="6">
        <v>0.36388888888888887</v>
      </c>
      <c r="M450" s="5" t="s">
        <v>379</v>
      </c>
      <c r="N450" s="5" t="s">
        <v>24</v>
      </c>
      <c r="O450" s="5" t="s">
        <v>25</v>
      </c>
    </row>
    <row r="451" spans="1:15">
      <c r="A451" s="3" t="s">
        <v>15</v>
      </c>
      <c r="B451" s="3" t="str">
        <f>"FES1162739803"</f>
        <v>FES1162739803</v>
      </c>
      <c r="C451" s="3" t="s">
        <v>22</v>
      </c>
      <c r="D451" s="3">
        <v>1</v>
      </c>
      <c r="E451" s="3">
        <v>2170731450</v>
      </c>
      <c r="F451" s="3" t="s">
        <v>17</v>
      </c>
      <c r="G451" s="3" t="s">
        <v>18</v>
      </c>
      <c r="H451" s="3" t="s">
        <v>100</v>
      </c>
      <c r="I451" s="3" t="s">
        <v>117</v>
      </c>
      <c r="J451" s="3" t="s">
        <v>285</v>
      </c>
      <c r="K451" s="3" t="s">
        <v>77</v>
      </c>
      <c r="L451" s="4">
        <v>0.51250000000000007</v>
      </c>
      <c r="M451" s="3" t="s">
        <v>286</v>
      </c>
      <c r="N451" s="3" t="s">
        <v>24</v>
      </c>
      <c r="O451" s="3" t="s">
        <v>25</v>
      </c>
    </row>
    <row r="452" spans="1:15">
      <c r="A452" s="3" t="s">
        <v>15</v>
      </c>
      <c r="B452" s="3" t="str">
        <f>"FES1162739794"</f>
        <v>FES1162739794</v>
      </c>
      <c r="C452" s="3" t="s">
        <v>22</v>
      </c>
      <c r="D452" s="3">
        <v>0</v>
      </c>
      <c r="E452" s="3">
        <v>2170731448</v>
      </c>
      <c r="F452" s="3" t="s">
        <v>17</v>
      </c>
      <c r="G452" s="3" t="s">
        <v>18</v>
      </c>
      <c r="H452" s="3" t="s">
        <v>36</v>
      </c>
      <c r="I452" s="3" t="s">
        <v>330</v>
      </c>
      <c r="J452" s="3" t="s">
        <v>331</v>
      </c>
      <c r="K452" s="3" t="s">
        <v>77</v>
      </c>
      <c r="L452" s="4">
        <v>0.41319444444444442</v>
      </c>
      <c r="M452" s="3" t="s">
        <v>332</v>
      </c>
      <c r="N452" s="3" t="s">
        <v>24</v>
      </c>
      <c r="O452" s="3" t="s">
        <v>25</v>
      </c>
    </row>
    <row r="453" spans="1:15">
      <c r="A453" s="5" t="s">
        <v>15</v>
      </c>
      <c r="B453" s="5" t="str">
        <f>"FES1162739753"</f>
        <v>FES1162739753</v>
      </c>
      <c r="C453" s="5" t="s">
        <v>22</v>
      </c>
      <c r="D453" s="5">
        <v>0</v>
      </c>
      <c r="E453" s="5">
        <v>2170731400</v>
      </c>
      <c r="F453" s="5" t="s">
        <v>17</v>
      </c>
      <c r="G453" s="5" t="s">
        <v>18</v>
      </c>
      <c r="H453" s="5" t="s">
        <v>36</v>
      </c>
      <c r="I453" s="5" t="s">
        <v>37</v>
      </c>
      <c r="J453" s="5" t="s">
        <v>260</v>
      </c>
      <c r="K453" s="5" t="s">
        <v>77</v>
      </c>
      <c r="L453" s="6">
        <v>0.41111111111111115</v>
      </c>
      <c r="M453" s="5" t="s">
        <v>261</v>
      </c>
      <c r="N453" s="5" t="s">
        <v>24</v>
      </c>
      <c r="O453" s="5" t="s">
        <v>25</v>
      </c>
    </row>
    <row r="454" spans="1:15">
      <c r="A454" s="5" t="s">
        <v>15</v>
      </c>
      <c r="B454" s="5" t="str">
        <f>"FES1162739864"</f>
        <v>FES1162739864</v>
      </c>
      <c r="C454" s="5" t="s">
        <v>22</v>
      </c>
      <c r="D454" s="5">
        <v>0</v>
      </c>
      <c r="E454" s="5">
        <v>2170731020</v>
      </c>
      <c r="F454" s="5" t="s">
        <v>17</v>
      </c>
      <c r="G454" s="5" t="s">
        <v>18</v>
      </c>
      <c r="H454" s="5" t="s">
        <v>36</v>
      </c>
      <c r="I454" s="5" t="s">
        <v>37</v>
      </c>
      <c r="J454" s="5" t="s">
        <v>187</v>
      </c>
      <c r="K454" s="5" t="s">
        <v>77</v>
      </c>
      <c r="L454" s="6">
        <v>0.33680555555555558</v>
      </c>
      <c r="M454" s="5" t="s">
        <v>188</v>
      </c>
      <c r="N454" s="5" t="s">
        <v>24</v>
      </c>
      <c r="O454" s="5" t="s">
        <v>25</v>
      </c>
    </row>
    <row r="455" spans="1:15">
      <c r="A455" s="5" t="s">
        <v>15</v>
      </c>
      <c r="B455" s="5" t="str">
        <f>"FES1162739790"</f>
        <v>FES1162739790</v>
      </c>
      <c r="C455" s="5" t="s">
        <v>22</v>
      </c>
      <c r="D455" s="5">
        <v>0</v>
      </c>
      <c r="E455" s="5">
        <v>2170730893</v>
      </c>
      <c r="F455" s="5" t="s">
        <v>17</v>
      </c>
      <c r="G455" s="5" t="s">
        <v>18</v>
      </c>
      <c r="H455" s="5" t="s">
        <v>36</v>
      </c>
      <c r="I455" s="5" t="s">
        <v>37</v>
      </c>
      <c r="J455" s="5" t="s">
        <v>585</v>
      </c>
      <c r="K455" s="5" t="s">
        <v>77</v>
      </c>
      <c r="L455" s="6">
        <v>0.41597222222222219</v>
      </c>
      <c r="M455" s="5" t="s">
        <v>586</v>
      </c>
      <c r="N455" s="5" t="s">
        <v>24</v>
      </c>
      <c r="O455" s="5" t="s">
        <v>25</v>
      </c>
    </row>
    <row r="456" spans="1:15">
      <c r="A456" s="5" t="s">
        <v>15</v>
      </c>
      <c r="B456" s="5" t="str">
        <f>"FES1162739786"</f>
        <v>FES1162739786</v>
      </c>
      <c r="C456" s="5" t="s">
        <v>22</v>
      </c>
      <c r="D456" s="5">
        <v>0</v>
      </c>
      <c r="E456" s="5">
        <v>2170729880</v>
      </c>
      <c r="F456" s="5" t="s">
        <v>17</v>
      </c>
      <c r="G456" s="5" t="s">
        <v>18</v>
      </c>
      <c r="H456" s="5" t="s">
        <v>534</v>
      </c>
      <c r="I456" s="5" t="s">
        <v>596</v>
      </c>
      <c r="J456" s="5" t="s">
        <v>597</v>
      </c>
      <c r="K456" s="5" t="s">
        <v>77</v>
      </c>
      <c r="L456" s="6">
        <v>0.39583333333333331</v>
      </c>
      <c r="M456" s="5" t="s">
        <v>598</v>
      </c>
      <c r="N456" s="5" t="s">
        <v>24</v>
      </c>
      <c r="O456" s="5" t="s">
        <v>25</v>
      </c>
    </row>
    <row r="457" spans="1:15">
      <c r="A457" s="5" t="s">
        <v>15</v>
      </c>
      <c r="B457" s="5" t="str">
        <f>"FES1162739765"</f>
        <v>FES1162739765</v>
      </c>
      <c r="C457" s="5" t="s">
        <v>22</v>
      </c>
      <c r="D457" s="5">
        <v>0</v>
      </c>
      <c r="E457" s="5">
        <v>2170729810</v>
      </c>
      <c r="F457" s="5" t="s">
        <v>17</v>
      </c>
      <c r="G457" s="5" t="s">
        <v>18</v>
      </c>
      <c r="H457" s="5" t="s">
        <v>18</v>
      </c>
      <c r="I457" s="5" t="s">
        <v>171</v>
      </c>
      <c r="J457" s="5" t="s">
        <v>599</v>
      </c>
      <c r="K457" s="5" t="s">
        <v>77</v>
      </c>
      <c r="L457" s="6">
        <v>0.39583333333333331</v>
      </c>
      <c r="M457" s="5" t="s">
        <v>600</v>
      </c>
      <c r="N457" s="5" t="s">
        <v>24</v>
      </c>
      <c r="O457" s="5" t="s">
        <v>601</v>
      </c>
    </row>
    <row r="458" spans="1:15">
      <c r="A458" s="5" t="s">
        <v>15</v>
      </c>
      <c r="B458" s="5" t="str">
        <f>"FES1162739876"</f>
        <v>FES1162739876</v>
      </c>
      <c r="C458" s="5" t="s">
        <v>22</v>
      </c>
      <c r="D458" s="5">
        <v>0</v>
      </c>
      <c r="E458" s="5">
        <v>2170731507</v>
      </c>
      <c r="F458" s="5" t="s">
        <v>17</v>
      </c>
      <c r="G458" s="5" t="s">
        <v>18</v>
      </c>
      <c r="H458" s="5" t="s">
        <v>18</v>
      </c>
      <c r="I458" s="5" t="s">
        <v>168</v>
      </c>
      <c r="J458" s="5" t="s">
        <v>469</v>
      </c>
      <c r="K458" s="5" t="s">
        <v>77</v>
      </c>
      <c r="L458" s="6">
        <v>0.375</v>
      </c>
      <c r="M458" s="5" t="s">
        <v>470</v>
      </c>
      <c r="N458" s="5" t="s">
        <v>24</v>
      </c>
      <c r="O458" s="5" t="s">
        <v>25</v>
      </c>
    </row>
    <row r="459" spans="1:15">
      <c r="A459" s="5" t="s">
        <v>15</v>
      </c>
      <c r="B459" s="5" t="str">
        <f>"FES11627398861"</f>
        <v>FES11627398861</v>
      </c>
      <c r="C459" s="5" t="s">
        <v>22</v>
      </c>
      <c r="D459" s="5">
        <v>0</v>
      </c>
      <c r="E459" s="5">
        <v>2170731513</v>
      </c>
      <c r="F459" s="5" t="s">
        <v>17</v>
      </c>
      <c r="G459" s="5" t="s">
        <v>18</v>
      </c>
      <c r="H459" s="5" t="s">
        <v>18</v>
      </c>
      <c r="I459" s="5" t="s">
        <v>309</v>
      </c>
      <c r="J459" s="5" t="s">
        <v>602</v>
      </c>
      <c r="K459" s="5" t="s">
        <v>77</v>
      </c>
      <c r="L459" s="6">
        <v>0.375</v>
      </c>
      <c r="M459" s="5" t="s">
        <v>603</v>
      </c>
      <c r="N459" s="5" t="s">
        <v>24</v>
      </c>
      <c r="O459" s="5" t="s">
        <v>604</v>
      </c>
    </row>
    <row r="460" spans="1:15">
      <c r="A460" s="5" t="s">
        <v>15</v>
      </c>
      <c r="B460" s="5" t="str">
        <f>"FES1162739742"</f>
        <v>FES1162739742</v>
      </c>
      <c r="C460" s="5" t="s">
        <v>22</v>
      </c>
      <c r="D460" s="5">
        <v>1</v>
      </c>
      <c r="E460" s="5">
        <v>2170752996</v>
      </c>
      <c r="F460" s="5" t="s">
        <v>17</v>
      </c>
      <c r="G460" s="5" t="s">
        <v>18</v>
      </c>
      <c r="H460" s="5" t="s">
        <v>18</v>
      </c>
      <c r="I460" s="5" t="s">
        <v>151</v>
      </c>
      <c r="J460" s="5" t="s">
        <v>493</v>
      </c>
      <c r="K460" s="5" t="s">
        <v>77</v>
      </c>
      <c r="L460" s="6">
        <v>0.4375</v>
      </c>
      <c r="M460" s="5" t="s">
        <v>605</v>
      </c>
      <c r="N460" s="5" t="s">
        <v>24</v>
      </c>
      <c r="O460" s="5" t="s">
        <v>25</v>
      </c>
    </row>
    <row r="461" spans="1:15">
      <c r="A461" s="5" t="s">
        <v>15</v>
      </c>
      <c r="B461" s="5" t="str">
        <f>"FES1162739868"</f>
        <v>FES1162739868</v>
      </c>
      <c r="C461" s="5" t="s">
        <v>22</v>
      </c>
      <c r="D461" s="5">
        <v>1</v>
      </c>
      <c r="E461" s="5">
        <v>2170731123</v>
      </c>
      <c r="F461" s="5" t="s">
        <v>17</v>
      </c>
      <c r="G461" s="5" t="s">
        <v>18</v>
      </c>
      <c r="H461" s="5" t="s">
        <v>18</v>
      </c>
      <c r="I461" s="5" t="s">
        <v>309</v>
      </c>
      <c r="J461" s="5" t="s">
        <v>278</v>
      </c>
      <c r="K461" s="5" t="s">
        <v>77</v>
      </c>
      <c r="L461" s="6">
        <v>0.39097222222222222</v>
      </c>
      <c r="M461" s="5" t="s">
        <v>587</v>
      </c>
      <c r="N461" s="5" t="s">
        <v>24</v>
      </c>
      <c r="O461" s="5" t="s">
        <v>25</v>
      </c>
    </row>
    <row r="462" spans="1:15">
      <c r="A462" s="5" t="s">
        <v>15</v>
      </c>
      <c r="B462" s="5" t="str">
        <f>"FES1162739859"</f>
        <v>FES1162739859</v>
      </c>
      <c r="C462" s="5" t="s">
        <v>22</v>
      </c>
      <c r="D462" s="5">
        <v>2</v>
      </c>
      <c r="E462" s="5">
        <v>2170731497</v>
      </c>
      <c r="F462" s="5" t="s">
        <v>17</v>
      </c>
      <c r="G462" s="5" t="s">
        <v>18</v>
      </c>
      <c r="H462" s="5" t="s">
        <v>18</v>
      </c>
      <c r="I462" s="5" t="s">
        <v>151</v>
      </c>
      <c r="J462" s="5" t="s">
        <v>493</v>
      </c>
      <c r="K462" s="5" t="s">
        <v>77</v>
      </c>
      <c r="L462" s="6">
        <v>0.36041666666666666</v>
      </c>
      <c r="M462" s="5" t="s">
        <v>520</v>
      </c>
      <c r="N462" s="5" t="s">
        <v>24</v>
      </c>
      <c r="O462" s="5" t="s">
        <v>25</v>
      </c>
    </row>
    <row r="463" spans="1:15">
      <c r="A463" s="5" t="s">
        <v>15</v>
      </c>
      <c r="B463" s="5" t="str">
        <f>"FES1162739737"</f>
        <v>FES1162739737</v>
      </c>
      <c r="C463" s="5" t="s">
        <v>22</v>
      </c>
      <c r="D463" s="5">
        <v>1</v>
      </c>
      <c r="E463" s="5">
        <v>2170731379</v>
      </c>
      <c r="F463" s="5" t="s">
        <v>17</v>
      </c>
      <c r="G463" s="5" t="s">
        <v>18</v>
      </c>
      <c r="H463" s="5" t="s">
        <v>18</v>
      </c>
      <c r="I463" s="5" t="s">
        <v>341</v>
      </c>
      <c r="J463" s="5" t="s">
        <v>606</v>
      </c>
      <c r="K463" s="5" t="s">
        <v>77</v>
      </c>
      <c r="L463" s="6">
        <v>0.67569444444444438</v>
      </c>
      <c r="M463" s="5" t="s">
        <v>607</v>
      </c>
      <c r="N463" s="5" t="s">
        <v>24</v>
      </c>
      <c r="O463" s="5" t="s">
        <v>25</v>
      </c>
    </row>
    <row r="464" spans="1:15">
      <c r="A464" s="5" t="s">
        <v>15</v>
      </c>
      <c r="B464" s="5" t="str">
        <f>"FES1162739887"</f>
        <v>FES1162739887</v>
      </c>
      <c r="C464" s="5" t="s">
        <v>22</v>
      </c>
      <c r="D464" s="5">
        <v>1</v>
      </c>
      <c r="E464" s="5">
        <v>2170731500</v>
      </c>
      <c r="F464" s="5" t="s">
        <v>17</v>
      </c>
      <c r="G464" s="5" t="s">
        <v>18</v>
      </c>
      <c r="H464" s="5" t="s">
        <v>18</v>
      </c>
      <c r="I464" s="5" t="s">
        <v>33</v>
      </c>
      <c r="J464" s="5" t="s">
        <v>34</v>
      </c>
      <c r="K464" s="5" t="s">
        <v>77</v>
      </c>
      <c r="L464" s="6">
        <v>0.39444444444444443</v>
      </c>
      <c r="M464" s="5" t="s">
        <v>35</v>
      </c>
      <c r="N464" s="5" t="s">
        <v>24</v>
      </c>
      <c r="O464" s="5" t="s">
        <v>25</v>
      </c>
    </row>
    <row r="465" spans="1:15">
      <c r="A465" s="3" t="s">
        <v>15</v>
      </c>
      <c r="B465" s="3" t="str">
        <f>"FES1162739861"</f>
        <v>FES1162739861</v>
      </c>
      <c r="C465" s="3" t="s">
        <v>22</v>
      </c>
      <c r="D465" s="3">
        <v>0</v>
      </c>
      <c r="E465" s="3">
        <v>2170731495</v>
      </c>
      <c r="F465" s="3" t="s">
        <v>17</v>
      </c>
      <c r="G465" s="3" t="s">
        <v>18</v>
      </c>
      <c r="H465" s="3" t="s">
        <v>18</v>
      </c>
      <c r="I465" s="3" t="s">
        <v>33</v>
      </c>
      <c r="J465" s="3" t="s">
        <v>34</v>
      </c>
      <c r="K465" s="3" t="s">
        <v>77</v>
      </c>
      <c r="L465" s="4">
        <v>0.39166666666666666</v>
      </c>
      <c r="M465" s="3" t="s">
        <v>444</v>
      </c>
      <c r="N465" s="3" t="s">
        <v>24</v>
      </c>
      <c r="O465" s="3" t="s">
        <v>25</v>
      </c>
    </row>
    <row r="466" spans="1:15">
      <c r="A466" s="3" t="s">
        <v>15</v>
      </c>
      <c r="B466" s="3" t="str">
        <f>"FES1162739847"</f>
        <v>FES1162739847</v>
      </c>
      <c r="C466" s="3" t="s">
        <v>22</v>
      </c>
      <c r="D466" s="3">
        <v>1</v>
      </c>
      <c r="E466" s="3">
        <v>2170731390</v>
      </c>
      <c r="F466" s="3" t="s">
        <v>17</v>
      </c>
      <c r="G466" s="3" t="s">
        <v>18</v>
      </c>
      <c r="H466" s="3" t="s">
        <v>40</v>
      </c>
      <c r="I466" s="3" t="s">
        <v>431</v>
      </c>
      <c r="J466" s="3" t="s">
        <v>495</v>
      </c>
      <c r="K466" s="3" t="s">
        <v>77</v>
      </c>
      <c r="L466" s="4">
        <v>0.43055555555555558</v>
      </c>
      <c r="M466" s="3" t="s">
        <v>496</v>
      </c>
      <c r="N466" s="3" t="s">
        <v>24</v>
      </c>
      <c r="O466" s="3" t="s">
        <v>25</v>
      </c>
    </row>
    <row r="467" spans="1:15">
      <c r="A467" s="3" t="s">
        <v>15</v>
      </c>
      <c r="B467" s="3" t="str">
        <f>"FES1162739877"</f>
        <v>FES1162739877</v>
      </c>
      <c r="C467" s="3" t="s">
        <v>22</v>
      </c>
      <c r="D467" s="3">
        <v>1</v>
      </c>
      <c r="E467" s="3">
        <v>2170731508</v>
      </c>
      <c r="F467" s="3" t="s">
        <v>17</v>
      </c>
      <c r="G467" s="3" t="s">
        <v>18</v>
      </c>
      <c r="H467" s="3" t="s">
        <v>537</v>
      </c>
      <c r="I467" s="3" t="s">
        <v>608</v>
      </c>
      <c r="J467" s="3" t="s">
        <v>609</v>
      </c>
      <c r="K467" s="3" t="s">
        <v>77</v>
      </c>
      <c r="L467" s="4">
        <v>0.48333333333333334</v>
      </c>
      <c r="M467" s="3" t="s">
        <v>610</v>
      </c>
      <c r="N467" s="3" t="s">
        <v>24</v>
      </c>
      <c r="O467" s="3" t="s">
        <v>25</v>
      </c>
    </row>
    <row r="468" spans="1:15">
      <c r="A468" s="3" t="s">
        <v>15</v>
      </c>
      <c r="B468" s="3" t="str">
        <f>"FES1162739565"</f>
        <v>FES1162739565</v>
      </c>
      <c r="C468" s="3" t="s">
        <v>22</v>
      </c>
      <c r="D468" s="3">
        <v>1</v>
      </c>
      <c r="E468" s="3">
        <v>2170731131</v>
      </c>
      <c r="F468" s="3" t="s">
        <v>17</v>
      </c>
      <c r="G468" s="3" t="s">
        <v>18</v>
      </c>
      <c r="H468" s="3" t="s">
        <v>100</v>
      </c>
      <c r="I468" s="3" t="s">
        <v>101</v>
      </c>
      <c r="J468" s="3" t="s">
        <v>142</v>
      </c>
      <c r="K468" s="3" t="s">
        <v>77</v>
      </c>
      <c r="L468" s="4">
        <v>0.3527777777777778</v>
      </c>
      <c r="M468" s="3" t="s">
        <v>143</v>
      </c>
      <c r="N468" s="3" t="s">
        <v>24</v>
      </c>
      <c r="O468" s="3" t="s">
        <v>25</v>
      </c>
    </row>
    <row r="469" spans="1:15">
      <c r="A469" s="3" t="s">
        <v>15</v>
      </c>
      <c r="B469" s="3" t="str">
        <f>"FES1162739894"</f>
        <v>FES1162739894</v>
      </c>
      <c r="C469" s="3" t="s">
        <v>22</v>
      </c>
      <c r="D469" s="3">
        <v>0</v>
      </c>
      <c r="E469" s="3">
        <v>2170731524</v>
      </c>
      <c r="F469" s="3" t="s">
        <v>17</v>
      </c>
      <c r="G469" s="3" t="s">
        <v>18</v>
      </c>
      <c r="H469" s="3" t="s">
        <v>18</v>
      </c>
      <c r="I469" s="3" t="s">
        <v>309</v>
      </c>
      <c r="J469" s="3" t="s">
        <v>278</v>
      </c>
      <c r="K469" s="3" t="s">
        <v>77</v>
      </c>
      <c r="L469" s="4">
        <v>0.39097222222222222</v>
      </c>
      <c r="M469" s="3" t="s">
        <v>324</v>
      </c>
      <c r="N469" s="3" t="s">
        <v>24</v>
      </c>
      <c r="O469" s="3" t="s">
        <v>25</v>
      </c>
    </row>
    <row r="470" spans="1:15">
      <c r="A470" s="3" t="s">
        <v>15</v>
      </c>
      <c r="B470" s="3" t="str">
        <f>"FES1162739853"</f>
        <v>FES1162739853</v>
      </c>
      <c r="C470" s="3" t="s">
        <v>22</v>
      </c>
      <c r="D470" s="3">
        <v>0</v>
      </c>
      <c r="E470" s="3">
        <v>2170731489</v>
      </c>
      <c r="F470" s="3" t="s">
        <v>17</v>
      </c>
      <c r="G470" s="3" t="s">
        <v>18</v>
      </c>
      <c r="H470" s="3" t="s">
        <v>18</v>
      </c>
      <c r="I470" s="3" t="s">
        <v>29</v>
      </c>
      <c r="J470" s="3" t="s">
        <v>611</v>
      </c>
      <c r="K470" s="3" t="s">
        <v>77</v>
      </c>
      <c r="L470" s="4">
        <v>0.31944444444444448</v>
      </c>
      <c r="M470" s="3" t="s">
        <v>612</v>
      </c>
      <c r="N470" s="3" t="s">
        <v>24</v>
      </c>
      <c r="O470" s="3" t="s">
        <v>25</v>
      </c>
    </row>
    <row r="471" spans="1:15">
      <c r="A471" s="3" t="s">
        <v>15</v>
      </c>
      <c r="B471" s="3" t="str">
        <f>"FES1162739885"</f>
        <v>FES1162739885</v>
      </c>
      <c r="C471" s="3" t="s">
        <v>22</v>
      </c>
      <c r="D471" s="3">
        <v>0</v>
      </c>
      <c r="E471" s="3">
        <v>2170731511</v>
      </c>
      <c r="F471" s="3" t="s">
        <v>17</v>
      </c>
      <c r="G471" s="3" t="s">
        <v>18</v>
      </c>
      <c r="H471" s="3" t="s">
        <v>18</v>
      </c>
      <c r="I471" s="3" t="s">
        <v>33</v>
      </c>
      <c r="J471" s="3" t="s">
        <v>34</v>
      </c>
      <c r="K471" s="3" t="s">
        <v>77</v>
      </c>
      <c r="L471" s="4">
        <v>0.39374999999999999</v>
      </c>
      <c r="M471" s="3" t="s">
        <v>35</v>
      </c>
      <c r="N471" s="3" t="s">
        <v>24</v>
      </c>
      <c r="O471" s="3" t="s">
        <v>25</v>
      </c>
    </row>
    <row r="472" spans="1:15">
      <c r="A472" s="3" t="s">
        <v>15</v>
      </c>
      <c r="B472" s="3" t="str">
        <f>"FES1162739856"</f>
        <v>FES1162739856</v>
      </c>
      <c r="C472" s="3" t="s">
        <v>22</v>
      </c>
      <c r="D472" s="3">
        <v>0</v>
      </c>
      <c r="E472" s="3">
        <v>2170731492</v>
      </c>
      <c r="F472" s="3" t="s">
        <v>17</v>
      </c>
      <c r="G472" s="3" t="s">
        <v>18</v>
      </c>
      <c r="H472" s="3" t="s">
        <v>100</v>
      </c>
      <c r="I472" s="3" t="s">
        <v>117</v>
      </c>
      <c r="J472" s="3" t="s">
        <v>118</v>
      </c>
      <c r="K472" s="3" t="s">
        <v>77</v>
      </c>
      <c r="L472" s="4">
        <v>0.51597222222222217</v>
      </c>
      <c r="M472" s="3" t="s">
        <v>119</v>
      </c>
      <c r="N472" s="3" t="s">
        <v>24</v>
      </c>
      <c r="O472" s="3" t="s">
        <v>25</v>
      </c>
    </row>
    <row r="473" spans="1:15">
      <c r="A473" s="3" t="s">
        <v>15</v>
      </c>
      <c r="B473" s="3" t="str">
        <f>"FES1162739893"</f>
        <v>FES1162739893</v>
      </c>
      <c r="C473" s="3" t="s">
        <v>22</v>
      </c>
      <c r="D473" s="3">
        <v>0</v>
      </c>
      <c r="E473" s="3">
        <v>2170731522</v>
      </c>
      <c r="F473" s="3" t="s">
        <v>17</v>
      </c>
      <c r="G473" s="3" t="s">
        <v>18</v>
      </c>
      <c r="H473" s="3" t="s">
        <v>18</v>
      </c>
      <c r="I473" s="3" t="s">
        <v>309</v>
      </c>
      <c r="J473" s="3" t="s">
        <v>278</v>
      </c>
      <c r="K473" s="3" t="s">
        <v>77</v>
      </c>
      <c r="L473" s="4">
        <v>0.39097222222222222</v>
      </c>
      <c r="M473" s="3" t="s">
        <v>324</v>
      </c>
      <c r="N473" s="3" t="s">
        <v>24</v>
      </c>
      <c r="O473" s="3" t="s">
        <v>25</v>
      </c>
    </row>
    <row r="474" spans="1:15">
      <c r="A474" s="3" t="s">
        <v>15</v>
      </c>
      <c r="B474" s="3" t="str">
        <f>"FES1162739837"</f>
        <v>FES1162739837</v>
      </c>
      <c r="C474" s="3" t="s">
        <v>22</v>
      </c>
      <c r="D474" s="3">
        <v>0</v>
      </c>
      <c r="E474" s="3">
        <v>2170731474</v>
      </c>
      <c r="F474" s="3" t="s">
        <v>17</v>
      </c>
      <c r="G474" s="3" t="s">
        <v>18</v>
      </c>
      <c r="H474" s="3" t="s">
        <v>100</v>
      </c>
      <c r="I474" s="3" t="s">
        <v>155</v>
      </c>
      <c r="J474" s="3" t="s">
        <v>333</v>
      </c>
      <c r="K474" s="3" t="s">
        <v>77</v>
      </c>
      <c r="L474" s="4">
        <v>0.48402777777777778</v>
      </c>
      <c r="M474" s="3" t="s">
        <v>613</v>
      </c>
      <c r="N474" s="3" t="s">
        <v>24</v>
      </c>
      <c r="O474" s="3" t="s">
        <v>25</v>
      </c>
    </row>
    <row r="475" spans="1:15">
      <c r="A475" s="3" t="s">
        <v>15</v>
      </c>
      <c r="B475" s="3" t="str">
        <f>"FES1162739854"</f>
        <v>FES1162739854</v>
      </c>
      <c r="C475" s="3" t="s">
        <v>22</v>
      </c>
      <c r="D475" s="3">
        <v>0</v>
      </c>
      <c r="E475" s="3">
        <v>2170731490</v>
      </c>
      <c r="F475" s="3" t="s">
        <v>17</v>
      </c>
      <c r="G475" s="3" t="s">
        <v>18</v>
      </c>
      <c r="H475" s="3" t="s">
        <v>100</v>
      </c>
      <c r="I475" s="3" t="s">
        <v>262</v>
      </c>
      <c r="J475" s="3" t="s">
        <v>409</v>
      </c>
      <c r="K475" s="3" t="s">
        <v>410</v>
      </c>
      <c r="L475" s="4">
        <v>0.35486111111111113</v>
      </c>
      <c r="M475" s="3" t="s">
        <v>411</v>
      </c>
      <c r="N475" s="3" t="s">
        <v>24</v>
      </c>
      <c r="O475" s="3" t="s">
        <v>25</v>
      </c>
    </row>
    <row r="476" spans="1:15">
      <c r="A476" s="3" t="s">
        <v>15</v>
      </c>
      <c r="B476" s="3" t="str">
        <f>"FES1162739862"</f>
        <v>FES1162739862</v>
      </c>
      <c r="C476" s="3" t="s">
        <v>22</v>
      </c>
      <c r="D476" s="3">
        <v>0</v>
      </c>
      <c r="E476" s="3">
        <v>2170731498</v>
      </c>
      <c r="F476" s="3" t="s">
        <v>17</v>
      </c>
      <c r="G476" s="3" t="s">
        <v>18</v>
      </c>
      <c r="H476" s="3" t="s">
        <v>100</v>
      </c>
      <c r="I476" s="3" t="s">
        <v>101</v>
      </c>
      <c r="J476" s="3" t="s">
        <v>614</v>
      </c>
      <c r="K476" s="3" t="s">
        <v>77</v>
      </c>
      <c r="L476" s="4">
        <v>0.36249999999999999</v>
      </c>
      <c r="M476" s="3" t="s">
        <v>615</v>
      </c>
      <c r="N476" s="3" t="s">
        <v>24</v>
      </c>
      <c r="O476" s="3" t="s">
        <v>25</v>
      </c>
    </row>
    <row r="477" spans="1:15">
      <c r="A477" s="3" t="s">
        <v>15</v>
      </c>
      <c r="B477" s="3" t="str">
        <f>"FES1162739871"</f>
        <v>FES1162739871</v>
      </c>
      <c r="C477" s="3" t="s">
        <v>22</v>
      </c>
      <c r="D477" s="3">
        <v>0</v>
      </c>
      <c r="E477" s="3">
        <v>2170731501</v>
      </c>
      <c r="F477" s="3" t="s">
        <v>17</v>
      </c>
      <c r="G477" s="3" t="s">
        <v>18</v>
      </c>
      <c r="H477" s="3" t="s">
        <v>18</v>
      </c>
      <c r="I477" s="3" t="s">
        <v>29</v>
      </c>
      <c r="J477" s="3" t="s">
        <v>616</v>
      </c>
      <c r="K477" s="3" t="s">
        <v>77</v>
      </c>
      <c r="L477" s="4">
        <v>0.34027777777777773</v>
      </c>
      <c r="M477" s="3" t="s">
        <v>617</v>
      </c>
      <c r="N477" s="3" t="s">
        <v>24</v>
      </c>
      <c r="O477" s="3" t="s">
        <v>25</v>
      </c>
    </row>
    <row r="478" spans="1:15">
      <c r="A478" s="3" t="s">
        <v>15</v>
      </c>
      <c r="B478" s="3" t="str">
        <f>"FES1162739830"</f>
        <v>FES1162739830</v>
      </c>
      <c r="C478" s="3" t="s">
        <v>22</v>
      </c>
      <c r="D478" s="3">
        <v>0</v>
      </c>
      <c r="E478" s="3">
        <v>2170731473</v>
      </c>
      <c r="F478" s="3" t="s">
        <v>17</v>
      </c>
      <c r="G478" s="3" t="s">
        <v>18</v>
      </c>
      <c r="H478" s="3" t="s">
        <v>19</v>
      </c>
      <c r="I478" s="3" t="s">
        <v>20</v>
      </c>
      <c r="J478" s="3" t="s">
        <v>56</v>
      </c>
      <c r="K478" s="3" t="s">
        <v>77</v>
      </c>
      <c r="L478" s="4">
        <v>0.37222222222222223</v>
      </c>
      <c r="M478" s="3" t="s">
        <v>259</v>
      </c>
      <c r="N478" s="3" t="s">
        <v>24</v>
      </c>
      <c r="O478" s="3" t="s">
        <v>25</v>
      </c>
    </row>
    <row r="479" spans="1:15">
      <c r="A479" s="3" t="s">
        <v>15</v>
      </c>
      <c r="B479" s="3" t="str">
        <f>"FES1162739841"</f>
        <v>FES1162739841</v>
      </c>
      <c r="C479" s="3" t="s">
        <v>22</v>
      </c>
      <c r="D479" s="3">
        <v>0</v>
      </c>
      <c r="E479" s="3">
        <v>2170731479</v>
      </c>
      <c r="F479" s="3" t="s">
        <v>17</v>
      </c>
      <c r="G479" s="3" t="s">
        <v>18</v>
      </c>
      <c r="H479" s="3" t="s">
        <v>19</v>
      </c>
      <c r="I479" s="3" t="s">
        <v>51</v>
      </c>
      <c r="J479" s="3" t="s">
        <v>52</v>
      </c>
      <c r="K479" s="3" t="s">
        <v>77</v>
      </c>
      <c r="L479" s="4">
        <v>0.33333333333333331</v>
      </c>
      <c r="M479" s="3" t="s">
        <v>53</v>
      </c>
      <c r="N479" s="3" t="s">
        <v>24</v>
      </c>
      <c r="O479" s="3" t="s">
        <v>25</v>
      </c>
    </row>
    <row r="480" spans="1:15">
      <c r="A480" s="3" t="s">
        <v>15</v>
      </c>
      <c r="B480" s="3" t="str">
        <f>"FES1162739878"</f>
        <v>FES1162739878</v>
      </c>
      <c r="C480" s="3" t="s">
        <v>22</v>
      </c>
      <c r="D480" s="3">
        <v>0</v>
      </c>
      <c r="E480" s="3">
        <v>2170731509</v>
      </c>
      <c r="F480" s="3" t="s">
        <v>17</v>
      </c>
      <c r="G480" s="3" t="s">
        <v>18</v>
      </c>
      <c r="H480" s="3" t="s">
        <v>100</v>
      </c>
      <c r="I480" s="3" t="s">
        <v>155</v>
      </c>
      <c r="J480" s="3" t="s">
        <v>333</v>
      </c>
      <c r="K480" s="3" t="s">
        <v>77</v>
      </c>
      <c r="L480" s="4">
        <v>0.48333333333333334</v>
      </c>
      <c r="M480" s="3" t="s">
        <v>613</v>
      </c>
      <c r="N480" s="3" t="s">
        <v>24</v>
      </c>
      <c r="O480" s="3" t="s">
        <v>25</v>
      </c>
    </row>
    <row r="481" spans="1:15">
      <c r="A481" s="3" t="s">
        <v>15</v>
      </c>
      <c r="B481" s="3" t="str">
        <f>"FES1162739882"</f>
        <v>FES1162739882</v>
      </c>
      <c r="C481" s="3" t="s">
        <v>22</v>
      </c>
      <c r="D481" s="3">
        <v>0</v>
      </c>
      <c r="E481" s="3">
        <v>2170731466</v>
      </c>
      <c r="F481" s="3" t="s">
        <v>17</v>
      </c>
      <c r="G481" s="3" t="s">
        <v>18</v>
      </c>
      <c r="H481" s="3" t="s">
        <v>18</v>
      </c>
      <c r="I481" s="3" t="s">
        <v>29</v>
      </c>
      <c r="J481" s="3" t="s">
        <v>618</v>
      </c>
      <c r="K481" s="3" t="s">
        <v>77</v>
      </c>
      <c r="L481" s="4">
        <v>0.32291666666666669</v>
      </c>
      <c r="M481" s="3" t="s">
        <v>619</v>
      </c>
      <c r="N481" s="3" t="s">
        <v>24</v>
      </c>
      <c r="O481" s="3" t="s">
        <v>25</v>
      </c>
    </row>
    <row r="482" spans="1:15">
      <c r="A482" s="5" t="s">
        <v>15</v>
      </c>
      <c r="B482" s="5" t="str">
        <f>"FES1162739849"</f>
        <v>FES1162739849</v>
      </c>
      <c r="C482" s="5" t="s">
        <v>22</v>
      </c>
      <c r="D482" s="5">
        <v>0</v>
      </c>
      <c r="E482" s="5">
        <v>2170731484</v>
      </c>
      <c r="F482" s="5" t="s">
        <v>17</v>
      </c>
      <c r="G482" s="5" t="s">
        <v>18</v>
      </c>
      <c r="H482" s="5" t="s">
        <v>19</v>
      </c>
      <c r="I482" s="5" t="s">
        <v>20</v>
      </c>
      <c r="J482" s="5" t="s">
        <v>576</v>
      </c>
      <c r="K482" s="5" t="s">
        <v>77</v>
      </c>
      <c r="L482" s="6">
        <v>0.40763888888888888</v>
      </c>
      <c r="M482" s="5" t="s">
        <v>577</v>
      </c>
      <c r="N482" s="5" t="s">
        <v>24</v>
      </c>
      <c r="O482" s="5" t="s">
        <v>25</v>
      </c>
    </row>
    <row r="483" spans="1:15">
      <c r="A483" s="5" t="s">
        <v>15</v>
      </c>
      <c r="B483" s="5" t="str">
        <f>"FES1162739848"</f>
        <v>FES1162739848</v>
      </c>
      <c r="C483" s="5" t="s">
        <v>22</v>
      </c>
      <c r="D483" s="5">
        <v>0</v>
      </c>
      <c r="E483" s="5">
        <v>2170731483</v>
      </c>
      <c r="F483" s="5" t="s">
        <v>17</v>
      </c>
      <c r="G483" s="5" t="s">
        <v>18</v>
      </c>
      <c r="H483" s="5" t="s">
        <v>19</v>
      </c>
      <c r="I483" s="5" t="s">
        <v>20</v>
      </c>
      <c r="J483" s="5" t="s">
        <v>576</v>
      </c>
      <c r="K483" s="5" t="s">
        <v>77</v>
      </c>
      <c r="L483" s="6">
        <v>0.40763888888888888</v>
      </c>
      <c r="M483" s="5" t="s">
        <v>577</v>
      </c>
      <c r="N483" s="5" t="s">
        <v>24</v>
      </c>
      <c r="O483" s="5" t="s">
        <v>25</v>
      </c>
    </row>
    <row r="484" spans="1:15">
      <c r="A484" s="5" t="s">
        <v>15</v>
      </c>
      <c r="B484" s="5" t="str">
        <f>"FES1162739890"</f>
        <v>FES1162739890</v>
      </c>
      <c r="C484" s="5" t="s">
        <v>22</v>
      </c>
      <c r="D484" s="5">
        <v>0</v>
      </c>
      <c r="E484" s="5">
        <v>2170731517</v>
      </c>
      <c r="F484" s="5" t="s">
        <v>17</v>
      </c>
      <c r="G484" s="5" t="s">
        <v>18</v>
      </c>
      <c r="H484" s="5" t="s">
        <v>19</v>
      </c>
      <c r="I484" s="5" t="s">
        <v>51</v>
      </c>
      <c r="J484" s="5" t="s">
        <v>52</v>
      </c>
      <c r="K484" s="5" t="s">
        <v>77</v>
      </c>
      <c r="L484" s="6">
        <v>0.33333333333333331</v>
      </c>
      <c r="M484" s="5" t="s">
        <v>53</v>
      </c>
      <c r="N484" s="5" t="s">
        <v>24</v>
      </c>
      <c r="O484" s="5" t="s">
        <v>25</v>
      </c>
    </row>
    <row r="485" spans="1:15">
      <c r="A485" s="5" t="s">
        <v>15</v>
      </c>
      <c r="B485" s="5" t="str">
        <f>"FES1162739889"</f>
        <v>FES1162739889</v>
      </c>
      <c r="C485" s="5" t="s">
        <v>22</v>
      </c>
      <c r="D485" s="5">
        <v>0</v>
      </c>
      <c r="E485" s="5">
        <v>2170731515</v>
      </c>
      <c r="F485" s="5" t="s">
        <v>17</v>
      </c>
      <c r="G485" s="5" t="s">
        <v>18</v>
      </c>
      <c r="H485" s="5" t="s">
        <v>100</v>
      </c>
      <c r="I485" s="5" t="s">
        <v>262</v>
      </c>
      <c r="J485" s="5" t="s">
        <v>409</v>
      </c>
      <c r="K485" s="5" t="s">
        <v>410</v>
      </c>
      <c r="L485" s="6">
        <v>0.35486111111111113</v>
      </c>
      <c r="M485" s="5" t="s">
        <v>411</v>
      </c>
      <c r="N485" s="5" t="s">
        <v>24</v>
      </c>
      <c r="O485" s="5" t="s">
        <v>25</v>
      </c>
    </row>
    <row r="486" spans="1:15">
      <c r="A486" s="5" t="s">
        <v>15</v>
      </c>
      <c r="B486" s="5" t="str">
        <f>"FES1162739832"</f>
        <v>FES1162739832</v>
      </c>
      <c r="C486" s="5" t="s">
        <v>22</v>
      </c>
      <c r="D486" s="5">
        <v>1</v>
      </c>
      <c r="E486" s="5">
        <v>2170730399</v>
      </c>
      <c r="F486" s="5" t="s">
        <v>17</v>
      </c>
      <c r="G486" s="5" t="s">
        <v>18</v>
      </c>
      <c r="H486" s="5" t="s">
        <v>100</v>
      </c>
      <c r="I486" s="5" t="s">
        <v>262</v>
      </c>
      <c r="J486" s="5" t="s">
        <v>263</v>
      </c>
      <c r="K486" s="5" t="s">
        <v>410</v>
      </c>
      <c r="L486" s="6">
        <v>0.35486111111111113</v>
      </c>
      <c r="M486" s="5" t="s">
        <v>372</v>
      </c>
      <c r="N486" s="5" t="s">
        <v>24</v>
      </c>
      <c r="O486" s="5" t="s">
        <v>373</v>
      </c>
    </row>
    <row r="487" spans="1:15">
      <c r="A487" s="5" t="s">
        <v>15</v>
      </c>
      <c r="B487" s="5" t="str">
        <f>"FES1162739891"</f>
        <v>FES1162739891</v>
      </c>
      <c r="C487" s="5" t="s">
        <v>22</v>
      </c>
      <c r="D487" s="5">
        <v>0</v>
      </c>
      <c r="E487" s="5">
        <v>2170731518</v>
      </c>
      <c r="F487" s="5" t="s">
        <v>17</v>
      </c>
      <c r="G487" s="5" t="s">
        <v>18</v>
      </c>
      <c r="H487" s="5" t="s">
        <v>46</v>
      </c>
      <c r="I487" s="5" t="s">
        <v>620</v>
      </c>
      <c r="J487" s="5" t="s">
        <v>621</v>
      </c>
      <c r="K487" s="5" t="s">
        <v>77</v>
      </c>
      <c r="L487" s="5" t="s">
        <v>622</v>
      </c>
      <c r="M487" s="5" t="s">
        <v>623</v>
      </c>
      <c r="N487" s="5" t="s">
        <v>24</v>
      </c>
      <c r="O487" s="5" t="s">
        <v>25</v>
      </c>
    </row>
    <row r="488" spans="1:15">
      <c r="A488" s="5" t="s">
        <v>15</v>
      </c>
      <c r="B488" s="5" t="str">
        <f>"FES1162739865"</f>
        <v>FES1162739865</v>
      </c>
      <c r="C488" s="5" t="s">
        <v>22</v>
      </c>
      <c r="D488" s="5">
        <v>0</v>
      </c>
      <c r="E488" s="5">
        <v>2170730264</v>
      </c>
      <c r="F488" s="5" t="s">
        <v>17</v>
      </c>
      <c r="G488" s="5" t="s">
        <v>18</v>
      </c>
      <c r="H488" s="5" t="s">
        <v>36</v>
      </c>
      <c r="I488" s="5" t="s">
        <v>37</v>
      </c>
      <c r="J488" s="5" t="s">
        <v>187</v>
      </c>
      <c r="K488" s="5" t="s">
        <v>77</v>
      </c>
      <c r="L488" s="6">
        <v>0.33680555555555558</v>
      </c>
      <c r="M488" s="5" t="s">
        <v>624</v>
      </c>
      <c r="N488" s="5" t="s">
        <v>24</v>
      </c>
      <c r="O488" s="5" t="s">
        <v>25</v>
      </c>
    </row>
    <row r="489" spans="1:15">
      <c r="A489" s="5" t="s">
        <v>15</v>
      </c>
      <c r="B489" s="5" t="str">
        <f>"FES1162739884"</f>
        <v>FES1162739884</v>
      </c>
      <c r="C489" s="5" t="s">
        <v>22</v>
      </c>
      <c r="D489" s="5">
        <v>0</v>
      </c>
      <c r="E489" s="5">
        <v>2170731510</v>
      </c>
      <c r="F489" s="5" t="s">
        <v>17</v>
      </c>
      <c r="G489" s="5" t="s">
        <v>18</v>
      </c>
      <c r="H489" s="5" t="s">
        <v>36</v>
      </c>
      <c r="I489" s="5" t="s">
        <v>37</v>
      </c>
      <c r="J489" s="5" t="s">
        <v>585</v>
      </c>
      <c r="K489" s="5" t="s">
        <v>77</v>
      </c>
      <c r="L489" s="6">
        <v>0.41597222222222219</v>
      </c>
      <c r="M489" s="5" t="s">
        <v>586</v>
      </c>
      <c r="N489" s="5" t="s">
        <v>24</v>
      </c>
      <c r="O489" s="5" t="s">
        <v>25</v>
      </c>
    </row>
    <row r="490" spans="1:15">
      <c r="A490" s="3" t="s">
        <v>15</v>
      </c>
      <c r="B490" s="3" t="str">
        <f>"FES1162739883"</f>
        <v>FES1162739883</v>
      </c>
      <c r="C490" s="3" t="s">
        <v>22</v>
      </c>
      <c r="D490" s="3">
        <v>0</v>
      </c>
      <c r="E490" s="3">
        <v>21707315804</v>
      </c>
      <c r="F490" s="3" t="s">
        <v>17</v>
      </c>
      <c r="G490" s="3" t="s">
        <v>18</v>
      </c>
      <c r="H490" s="3" t="s">
        <v>36</v>
      </c>
      <c r="I490" s="3" t="s">
        <v>37</v>
      </c>
      <c r="J490" s="3" t="s">
        <v>585</v>
      </c>
      <c r="K490" s="3" t="s">
        <v>77</v>
      </c>
      <c r="L490" s="4">
        <v>0.41597222222222219</v>
      </c>
      <c r="M490" s="3" t="s">
        <v>586</v>
      </c>
      <c r="N490" s="3" t="s">
        <v>24</v>
      </c>
      <c r="O490" s="3" t="s">
        <v>25</v>
      </c>
    </row>
    <row r="491" spans="1:15">
      <c r="A491" s="3" t="s">
        <v>15</v>
      </c>
      <c r="B491" s="3" t="str">
        <f>"FES1162739866"</f>
        <v>FES1162739866</v>
      </c>
      <c r="C491" s="3" t="s">
        <v>22</v>
      </c>
      <c r="D491" s="3">
        <v>0</v>
      </c>
      <c r="E491" s="3">
        <v>21707327222</v>
      </c>
      <c r="F491" s="3" t="s">
        <v>17</v>
      </c>
      <c r="G491" s="3" t="s">
        <v>18</v>
      </c>
      <c r="H491" s="3" t="s">
        <v>36</v>
      </c>
      <c r="I491" s="3" t="s">
        <v>37</v>
      </c>
      <c r="J491" s="3" t="s">
        <v>187</v>
      </c>
      <c r="K491" s="3" t="s">
        <v>77</v>
      </c>
      <c r="L491" s="4">
        <v>0.33680555555555558</v>
      </c>
      <c r="M491" s="3" t="s">
        <v>191</v>
      </c>
      <c r="N491" s="3" t="s">
        <v>24</v>
      </c>
      <c r="O491" s="3" t="s">
        <v>25</v>
      </c>
    </row>
    <row r="492" spans="1:15">
      <c r="A492" s="3" t="s">
        <v>15</v>
      </c>
      <c r="B492" s="3" t="str">
        <f>"FES1162739846"</f>
        <v>FES1162739846</v>
      </c>
      <c r="C492" s="3" t="s">
        <v>22</v>
      </c>
      <c r="D492" s="3">
        <v>1</v>
      </c>
      <c r="E492" s="3">
        <v>2170731387</v>
      </c>
      <c r="F492" s="3" t="s">
        <v>17</v>
      </c>
      <c r="G492" s="3" t="s">
        <v>18</v>
      </c>
      <c r="H492" s="3" t="s">
        <v>70</v>
      </c>
      <c r="I492" s="3" t="s">
        <v>71</v>
      </c>
      <c r="J492" s="3" t="s">
        <v>248</v>
      </c>
      <c r="K492" s="3" t="s">
        <v>77</v>
      </c>
      <c r="L492" s="4">
        <v>0.51666666666666672</v>
      </c>
      <c r="M492" s="3" t="s">
        <v>249</v>
      </c>
      <c r="N492" s="3" t="s">
        <v>24</v>
      </c>
      <c r="O492" s="3" t="s">
        <v>25</v>
      </c>
    </row>
    <row r="493" spans="1:15">
      <c r="A493" s="3" t="s">
        <v>15</v>
      </c>
      <c r="B493" s="3" t="str">
        <f>"FES1162739874"</f>
        <v>FES1162739874</v>
      </c>
      <c r="C493" s="3" t="s">
        <v>22</v>
      </c>
      <c r="D493" s="3">
        <v>1</v>
      </c>
      <c r="E493" s="3">
        <v>217071505</v>
      </c>
      <c r="F493" s="3" t="s">
        <v>17</v>
      </c>
      <c r="G493" s="3" t="s">
        <v>18</v>
      </c>
      <c r="H493" s="3" t="s">
        <v>19</v>
      </c>
      <c r="I493" s="3" t="s">
        <v>86</v>
      </c>
      <c r="J493" s="3" t="s">
        <v>273</v>
      </c>
      <c r="K493" s="3" t="s">
        <v>77</v>
      </c>
      <c r="L493" s="4">
        <v>0.42638888888888887</v>
      </c>
      <c r="M493" s="3" t="s">
        <v>553</v>
      </c>
      <c r="N493" s="3" t="s">
        <v>24</v>
      </c>
      <c r="O493" s="3" t="s">
        <v>25</v>
      </c>
    </row>
    <row r="494" spans="1:15">
      <c r="A494" s="3" t="s">
        <v>15</v>
      </c>
      <c r="B494" s="3" t="str">
        <f>"FES1162739872"</f>
        <v>FES1162739872</v>
      </c>
      <c r="C494" s="3" t="s">
        <v>22</v>
      </c>
      <c r="D494" s="3">
        <v>1</v>
      </c>
      <c r="E494" s="3">
        <v>21707315025</v>
      </c>
      <c r="F494" s="3" t="s">
        <v>17</v>
      </c>
      <c r="G494" s="3" t="s">
        <v>18</v>
      </c>
      <c r="H494" s="3" t="s">
        <v>19</v>
      </c>
      <c r="I494" s="3" t="s">
        <v>86</v>
      </c>
      <c r="J494" s="3" t="s">
        <v>273</v>
      </c>
      <c r="K494" s="3" t="s">
        <v>77</v>
      </c>
      <c r="L494" s="4">
        <v>0.42638888888888887</v>
      </c>
      <c r="M494" s="3" t="s">
        <v>553</v>
      </c>
      <c r="N494" s="3" t="s">
        <v>24</v>
      </c>
      <c r="O494" s="3" t="s">
        <v>25</v>
      </c>
    </row>
    <row r="495" spans="1:15">
      <c r="A495" s="3" t="s">
        <v>15</v>
      </c>
      <c r="B495" s="3" t="str">
        <f>"FES1162739892"</f>
        <v>FES1162739892</v>
      </c>
      <c r="C495" s="3" t="s">
        <v>22</v>
      </c>
      <c r="D495" s="3">
        <v>1</v>
      </c>
      <c r="E495" s="3">
        <v>2170731519</v>
      </c>
      <c r="F495" s="3" t="s">
        <v>17</v>
      </c>
      <c r="G495" s="3" t="s">
        <v>18</v>
      </c>
      <c r="H495" s="3" t="s">
        <v>100</v>
      </c>
      <c r="I495" s="3" t="s">
        <v>122</v>
      </c>
      <c r="J495" s="3" t="s">
        <v>123</v>
      </c>
      <c r="K495" s="3" t="s">
        <v>77</v>
      </c>
      <c r="L495" s="4">
        <v>0.54166666666666663</v>
      </c>
      <c r="M495" s="3" t="s">
        <v>625</v>
      </c>
      <c r="N495" s="3" t="s">
        <v>24</v>
      </c>
      <c r="O495" s="3" t="s">
        <v>25</v>
      </c>
    </row>
    <row r="496" spans="1:15">
      <c r="A496" s="3" t="s">
        <v>15</v>
      </c>
      <c r="B496" s="3" t="str">
        <f>"FES1162739875"</f>
        <v>FES1162739875</v>
      </c>
      <c r="C496" s="3" t="s">
        <v>22</v>
      </c>
      <c r="D496" s="3">
        <v>1</v>
      </c>
      <c r="E496" s="3">
        <v>2170731506</v>
      </c>
      <c r="F496" s="3" t="s">
        <v>17</v>
      </c>
      <c r="G496" s="3" t="s">
        <v>18</v>
      </c>
      <c r="H496" s="3" t="s">
        <v>19</v>
      </c>
      <c r="I496" s="3" t="s">
        <v>86</v>
      </c>
      <c r="J496" s="3" t="s">
        <v>273</v>
      </c>
      <c r="K496" s="3" t="s">
        <v>77</v>
      </c>
      <c r="L496" s="4">
        <v>0.42708333333333331</v>
      </c>
      <c r="M496" s="3" t="s">
        <v>553</v>
      </c>
      <c r="N496" s="3" t="s">
        <v>24</v>
      </c>
      <c r="O496" s="3" t="s">
        <v>25</v>
      </c>
    </row>
    <row r="497" spans="1:15">
      <c r="A497" s="3" t="s">
        <v>15</v>
      </c>
      <c r="B497" s="3" t="str">
        <f>"FES1162739990"</f>
        <v>FES1162739990</v>
      </c>
      <c r="C497" s="3" t="s">
        <v>77</v>
      </c>
      <c r="D497" s="3">
        <v>0</v>
      </c>
      <c r="E497" s="3" t="str">
        <f>"2170731622"</f>
        <v>2170731622</v>
      </c>
      <c r="F497" s="3" t="s">
        <v>17</v>
      </c>
      <c r="G497" s="3" t="s">
        <v>18</v>
      </c>
      <c r="H497" s="3" t="s">
        <v>100</v>
      </c>
      <c r="I497" s="3" t="s">
        <v>117</v>
      </c>
      <c r="J497" s="3" t="s">
        <v>335</v>
      </c>
      <c r="K497" s="3" t="s">
        <v>410</v>
      </c>
      <c r="L497" s="4">
        <v>0.51250000000000007</v>
      </c>
      <c r="M497" s="3" t="s">
        <v>626</v>
      </c>
      <c r="N497" s="3" t="s">
        <v>24</v>
      </c>
      <c r="O497" s="3" t="s">
        <v>25</v>
      </c>
    </row>
    <row r="498" spans="1:15">
      <c r="A498" s="3" t="s">
        <v>15</v>
      </c>
      <c r="B498" s="3" t="str">
        <f>"FES1162739972"</f>
        <v>FES1162739972</v>
      </c>
      <c r="C498" s="3" t="s">
        <v>77</v>
      </c>
      <c r="D498" s="3">
        <v>0</v>
      </c>
      <c r="E498" s="3" t="str">
        <f>"2170731600"</f>
        <v>2170731600</v>
      </c>
      <c r="F498" s="3" t="s">
        <v>17</v>
      </c>
      <c r="G498" s="3" t="s">
        <v>18</v>
      </c>
      <c r="H498" s="3" t="s">
        <v>36</v>
      </c>
      <c r="I498" s="3" t="s">
        <v>37</v>
      </c>
      <c r="J498" s="3" t="s">
        <v>54</v>
      </c>
      <c r="K498" s="3" t="s">
        <v>410</v>
      </c>
      <c r="L498" s="4">
        <v>0.43402777777777773</v>
      </c>
      <c r="M498" s="3" t="s">
        <v>55</v>
      </c>
      <c r="N498" s="3" t="s">
        <v>24</v>
      </c>
      <c r="O498" s="3" t="s">
        <v>25</v>
      </c>
    </row>
    <row r="499" spans="1:15">
      <c r="A499" s="3" t="s">
        <v>15</v>
      </c>
      <c r="B499" s="3" t="str">
        <f>"FES1162739958"</f>
        <v>FES1162739958</v>
      </c>
      <c r="C499" s="3" t="s">
        <v>77</v>
      </c>
      <c r="D499" s="3">
        <v>0</v>
      </c>
      <c r="E499" s="3" t="str">
        <f>"2170731581"</f>
        <v>2170731581</v>
      </c>
      <c r="F499" s="3" t="s">
        <v>17</v>
      </c>
      <c r="G499" s="3" t="s">
        <v>18</v>
      </c>
      <c r="H499" s="3" t="s">
        <v>19</v>
      </c>
      <c r="I499" s="3" t="s">
        <v>20</v>
      </c>
      <c r="J499" s="3" t="s">
        <v>56</v>
      </c>
      <c r="K499" s="3" t="s">
        <v>410</v>
      </c>
      <c r="L499" s="4">
        <v>0.37638888888888888</v>
      </c>
      <c r="M499" s="3" t="s">
        <v>57</v>
      </c>
      <c r="N499" s="3" t="s">
        <v>24</v>
      </c>
      <c r="O499" s="3" t="s">
        <v>25</v>
      </c>
    </row>
    <row r="500" spans="1:15">
      <c r="A500" s="3" t="s">
        <v>15</v>
      </c>
      <c r="B500" s="3" t="str">
        <f>"FES1162739993"</f>
        <v>FES1162739993</v>
      </c>
      <c r="C500" s="3" t="s">
        <v>77</v>
      </c>
      <c r="D500" s="3">
        <v>0</v>
      </c>
      <c r="E500" s="3" t="str">
        <f>"2170731620"</f>
        <v>2170731620</v>
      </c>
      <c r="F500" s="3" t="s">
        <v>627</v>
      </c>
      <c r="G500" s="3" t="s">
        <v>18</v>
      </c>
      <c r="H500" s="3" t="s">
        <v>36</v>
      </c>
      <c r="I500" s="3" t="s">
        <v>330</v>
      </c>
      <c r="J500" s="3" t="s">
        <v>58</v>
      </c>
      <c r="K500" s="3" t="s">
        <v>77</v>
      </c>
      <c r="L500" s="4">
        <v>0.66805555555555562</v>
      </c>
      <c r="M500" s="3" t="s">
        <v>628</v>
      </c>
      <c r="N500" s="3" t="s">
        <v>24</v>
      </c>
      <c r="O500" s="3" t="s">
        <v>629</v>
      </c>
    </row>
    <row r="501" spans="1:15">
      <c r="A501" s="3" t="s">
        <v>15</v>
      </c>
      <c r="B501" s="3" t="str">
        <f>"FES1162739950"</f>
        <v>FES1162739950</v>
      </c>
      <c r="C501" s="3" t="s">
        <v>77</v>
      </c>
      <c r="D501" s="3">
        <v>1</v>
      </c>
      <c r="E501" s="3" t="str">
        <f>"2170731321"</f>
        <v>2170731321</v>
      </c>
      <c r="F501" s="3" t="s">
        <v>17</v>
      </c>
      <c r="G501" s="3" t="s">
        <v>18</v>
      </c>
      <c r="H501" s="3" t="s">
        <v>18</v>
      </c>
      <c r="I501" s="3" t="s">
        <v>151</v>
      </c>
      <c r="J501" s="3" t="s">
        <v>556</v>
      </c>
      <c r="K501" s="3" t="s">
        <v>410</v>
      </c>
      <c r="L501" s="4">
        <v>0.33333333333333331</v>
      </c>
      <c r="M501" s="3" t="s">
        <v>630</v>
      </c>
      <c r="N501" s="3" t="s">
        <v>24</v>
      </c>
      <c r="O501" s="3" t="s">
        <v>25</v>
      </c>
    </row>
    <row r="502" spans="1:15">
      <c r="A502" s="3" t="s">
        <v>15</v>
      </c>
      <c r="B502" s="3" t="str">
        <f>"FES1162739867"</f>
        <v>FES1162739867</v>
      </c>
      <c r="C502" s="3" t="s">
        <v>77</v>
      </c>
      <c r="D502" s="3">
        <v>1</v>
      </c>
      <c r="E502" s="3" t="str">
        <f>"2170730350"</f>
        <v>2170730350</v>
      </c>
      <c r="F502" s="3" t="s">
        <v>17</v>
      </c>
      <c r="G502" s="3" t="s">
        <v>18</v>
      </c>
      <c r="H502" s="3" t="s">
        <v>36</v>
      </c>
      <c r="I502" s="3" t="s">
        <v>37</v>
      </c>
      <c r="J502" s="3" t="s">
        <v>187</v>
      </c>
      <c r="K502" s="3" t="s">
        <v>410</v>
      </c>
      <c r="L502" s="4">
        <v>0.36805555555555558</v>
      </c>
      <c r="M502" s="3" t="s">
        <v>188</v>
      </c>
      <c r="N502" s="3" t="s">
        <v>24</v>
      </c>
      <c r="O502" s="3" t="s">
        <v>25</v>
      </c>
    </row>
    <row r="503" spans="1:15">
      <c r="A503" s="3" t="s">
        <v>15</v>
      </c>
      <c r="B503" s="3" t="str">
        <f>"FES1162739896"</f>
        <v>FES1162739896</v>
      </c>
      <c r="C503" s="3" t="s">
        <v>77</v>
      </c>
      <c r="D503" s="3">
        <v>0</v>
      </c>
      <c r="E503" s="3" t="str">
        <f>"2170731526"</f>
        <v>2170731526</v>
      </c>
      <c r="F503" s="3" t="s">
        <v>17</v>
      </c>
      <c r="G503" s="3" t="s">
        <v>18</v>
      </c>
      <c r="H503" s="3" t="s">
        <v>18</v>
      </c>
      <c r="I503" s="3" t="s">
        <v>338</v>
      </c>
      <c r="J503" s="3" t="s">
        <v>199</v>
      </c>
      <c r="K503" s="3" t="s">
        <v>410</v>
      </c>
      <c r="L503" s="4">
        <v>0.34375</v>
      </c>
      <c r="M503" s="3" t="s">
        <v>631</v>
      </c>
      <c r="N503" s="3" t="s">
        <v>24</v>
      </c>
      <c r="O503" s="3" t="s">
        <v>25</v>
      </c>
    </row>
    <row r="504" spans="1:15">
      <c r="A504" s="3" t="s">
        <v>15</v>
      </c>
      <c r="B504" s="3" t="str">
        <f>"FES1162739981"</f>
        <v>FES1162739981</v>
      </c>
      <c r="C504" s="3" t="s">
        <v>77</v>
      </c>
      <c r="D504" s="3">
        <v>0</v>
      </c>
      <c r="E504" s="3" t="str">
        <f>"2170731612"</f>
        <v>2170731612</v>
      </c>
      <c r="F504" s="3" t="s">
        <v>17</v>
      </c>
      <c r="G504" s="3" t="s">
        <v>18</v>
      </c>
      <c r="H504" s="3" t="s">
        <v>100</v>
      </c>
      <c r="I504" s="3" t="s">
        <v>101</v>
      </c>
      <c r="J504" s="3" t="s">
        <v>131</v>
      </c>
      <c r="K504" s="3" t="s">
        <v>410</v>
      </c>
      <c r="L504" s="4">
        <v>0.37083333333333335</v>
      </c>
      <c r="M504" s="3" t="s">
        <v>132</v>
      </c>
      <c r="N504" s="3" t="s">
        <v>24</v>
      </c>
      <c r="O504" s="3" t="s">
        <v>25</v>
      </c>
    </row>
    <row r="505" spans="1:15">
      <c r="A505" s="3" t="s">
        <v>15</v>
      </c>
      <c r="B505" s="3" t="str">
        <f>"FES1162739974"</f>
        <v>FES1162739974</v>
      </c>
      <c r="C505" s="3" t="s">
        <v>77</v>
      </c>
      <c r="D505" s="3">
        <v>0</v>
      </c>
      <c r="E505" s="3" t="str">
        <f>"2170731602"</f>
        <v>2170731602</v>
      </c>
      <c r="F505" s="3" t="s">
        <v>17</v>
      </c>
      <c r="G505" s="3" t="s">
        <v>18</v>
      </c>
      <c r="H505" s="3" t="s">
        <v>18</v>
      </c>
      <c r="I505" s="3" t="s">
        <v>29</v>
      </c>
      <c r="J505" s="3" t="s">
        <v>568</v>
      </c>
      <c r="K505" s="3" t="s">
        <v>410</v>
      </c>
      <c r="L505" s="4">
        <v>0.3215277777777778</v>
      </c>
      <c r="M505" s="3" t="s">
        <v>632</v>
      </c>
      <c r="N505" s="3" t="s">
        <v>24</v>
      </c>
      <c r="O505" s="3" t="s">
        <v>25</v>
      </c>
    </row>
    <row r="506" spans="1:15">
      <c r="A506" s="3" t="s">
        <v>15</v>
      </c>
      <c r="B506" s="3" t="str">
        <f>"FES1162739658"</f>
        <v>FES1162739658</v>
      </c>
      <c r="C506" s="3" t="s">
        <v>77</v>
      </c>
      <c r="D506" s="3">
        <v>1</v>
      </c>
      <c r="E506" s="3" t="str">
        <f>"2170730733"</f>
        <v>2170730733</v>
      </c>
      <c r="F506" s="3" t="s">
        <v>17</v>
      </c>
      <c r="G506" s="3" t="s">
        <v>18</v>
      </c>
      <c r="H506" s="3" t="s">
        <v>19</v>
      </c>
      <c r="I506" s="3" t="s">
        <v>236</v>
      </c>
      <c r="J506" s="3" t="s">
        <v>633</v>
      </c>
      <c r="K506" s="3" t="s">
        <v>410</v>
      </c>
      <c r="L506" s="4">
        <v>0.38541666666666669</v>
      </c>
      <c r="M506" s="3" t="s">
        <v>634</v>
      </c>
      <c r="N506" s="3" t="s">
        <v>24</v>
      </c>
      <c r="O506" s="3" t="s">
        <v>25</v>
      </c>
    </row>
    <row r="507" spans="1:15">
      <c r="A507" s="3" t="s">
        <v>15</v>
      </c>
      <c r="B507" s="3" t="str">
        <f>"FES1162739964"</f>
        <v>FES1162739964</v>
      </c>
      <c r="C507" s="3" t="s">
        <v>77</v>
      </c>
      <c r="D507" s="3">
        <v>1</v>
      </c>
      <c r="E507" s="3" t="str">
        <f>"2170731588"</f>
        <v>2170731588</v>
      </c>
      <c r="F507" s="3" t="s">
        <v>17</v>
      </c>
      <c r="G507" s="3" t="s">
        <v>18</v>
      </c>
      <c r="H507" s="3" t="s">
        <v>19</v>
      </c>
      <c r="I507" s="3" t="s">
        <v>20</v>
      </c>
      <c r="J507" s="3" t="s">
        <v>21</v>
      </c>
      <c r="K507" s="3" t="s">
        <v>410</v>
      </c>
      <c r="L507" s="4">
        <v>0.4236111111111111</v>
      </c>
      <c r="M507" s="3" t="s">
        <v>261</v>
      </c>
      <c r="N507" s="3" t="s">
        <v>24</v>
      </c>
      <c r="O507" s="3" t="s">
        <v>25</v>
      </c>
    </row>
    <row r="508" spans="1:15">
      <c r="A508" s="3" t="s">
        <v>15</v>
      </c>
      <c r="B508" s="3" t="str">
        <f>"FES1162739921"</f>
        <v>FES1162739921</v>
      </c>
      <c r="C508" s="3" t="s">
        <v>77</v>
      </c>
      <c r="D508" s="3">
        <v>1</v>
      </c>
      <c r="E508" s="3" t="str">
        <f>"2170731553"</f>
        <v>2170731553</v>
      </c>
      <c r="F508" s="3" t="s">
        <v>17</v>
      </c>
      <c r="G508" s="3" t="s">
        <v>18</v>
      </c>
      <c r="H508" s="3" t="s">
        <v>534</v>
      </c>
      <c r="I508" s="3" t="s">
        <v>535</v>
      </c>
      <c r="J508" s="3" t="s">
        <v>536</v>
      </c>
      <c r="K508" s="3" t="s">
        <v>410</v>
      </c>
      <c r="L508" s="4">
        <v>0.39583333333333331</v>
      </c>
      <c r="M508" s="3" t="s">
        <v>232</v>
      </c>
      <c r="N508" s="3" t="s">
        <v>24</v>
      </c>
      <c r="O508" s="3" t="s">
        <v>25</v>
      </c>
    </row>
    <row r="509" spans="1:15">
      <c r="A509" s="3" t="s">
        <v>15</v>
      </c>
      <c r="B509" s="3" t="str">
        <f>"019911311223"</f>
        <v>019911311223</v>
      </c>
      <c r="C509" s="3" t="s">
        <v>77</v>
      </c>
      <c r="D509" s="3">
        <v>1</v>
      </c>
      <c r="E509" s="3" t="str">
        <f>"1703"</f>
        <v>1703</v>
      </c>
      <c r="F509" s="3" t="s">
        <v>214</v>
      </c>
      <c r="G509" s="3" t="s">
        <v>100</v>
      </c>
      <c r="H509" s="3" t="s">
        <v>18</v>
      </c>
      <c r="I509" s="3" t="s">
        <v>29</v>
      </c>
      <c r="J509" s="3" t="s">
        <v>635</v>
      </c>
      <c r="K509" s="3" t="s">
        <v>410</v>
      </c>
      <c r="L509" s="4">
        <v>0.39583333333333331</v>
      </c>
      <c r="M509" s="3" t="s">
        <v>603</v>
      </c>
      <c r="N509" s="3" t="s">
        <v>24</v>
      </c>
      <c r="O509" s="3" t="s">
        <v>25</v>
      </c>
    </row>
    <row r="510" spans="1:15">
      <c r="A510" s="3" t="s">
        <v>15</v>
      </c>
      <c r="B510" s="3" t="str">
        <f>"FES1162739903"</f>
        <v>FES1162739903</v>
      </c>
      <c r="C510" s="3" t="s">
        <v>77</v>
      </c>
      <c r="D510" s="3">
        <v>0</v>
      </c>
      <c r="E510" s="3" t="str">
        <f>"2170731533"</f>
        <v>2170731533</v>
      </c>
      <c r="F510" s="3" t="s">
        <v>17</v>
      </c>
      <c r="G510" s="3" t="s">
        <v>18</v>
      </c>
      <c r="H510" s="3" t="s">
        <v>19</v>
      </c>
      <c r="I510" s="3" t="s">
        <v>51</v>
      </c>
      <c r="J510" s="3" t="s">
        <v>52</v>
      </c>
      <c r="K510" s="3" t="s">
        <v>410</v>
      </c>
      <c r="L510" s="4">
        <v>0.33611111111111108</v>
      </c>
      <c r="M510" s="3" t="s">
        <v>636</v>
      </c>
      <c r="N510" s="3" t="s">
        <v>24</v>
      </c>
      <c r="O510" s="3" t="s">
        <v>25</v>
      </c>
    </row>
    <row r="511" spans="1:15">
      <c r="A511" s="3" t="s">
        <v>15</v>
      </c>
      <c r="B511" s="3" t="str">
        <f>"FES1162739973"</f>
        <v>FES1162739973</v>
      </c>
      <c r="C511" s="3" t="s">
        <v>77</v>
      </c>
      <c r="D511" s="3">
        <v>1</v>
      </c>
      <c r="E511" s="3" t="str">
        <f>"217031+601"</f>
        <v>217031+601</v>
      </c>
      <c r="F511" s="3" t="s">
        <v>17</v>
      </c>
      <c r="G511" s="3" t="s">
        <v>18</v>
      </c>
      <c r="H511" s="3" t="s">
        <v>19</v>
      </c>
      <c r="I511" s="3" t="s">
        <v>445</v>
      </c>
      <c r="J511" s="3" t="s">
        <v>637</v>
      </c>
      <c r="K511" s="3" t="s">
        <v>410</v>
      </c>
      <c r="L511" s="4">
        <v>0.6645833333333333</v>
      </c>
      <c r="M511" s="3" t="s">
        <v>638</v>
      </c>
      <c r="N511" s="3" t="s">
        <v>24</v>
      </c>
      <c r="O511" s="3" t="s">
        <v>25</v>
      </c>
    </row>
    <row r="512" spans="1:15">
      <c r="A512" s="3" t="s">
        <v>15</v>
      </c>
      <c r="B512" s="3" t="str">
        <f>"FES1162739929"</f>
        <v>FES1162739929</v>
      </c>
      <c r="C512" s="3" t="s">
        <v>77</v>
      </c>
      <c r="D512" s="3">
        <v>0</v>
      </c>
      <c r="E512" s="3" t="str">
        <f>"2170731564"</f>
        <v>2170731564</v>
      </c>
      <c r="F512" s="3" t="s">
        <v>17</v>
      </c>
      <c r="G512" s="3" t="s">
        <v>18</v>
      </c>
      <c r="H512" s="3" t="s">
        <v>100</v>
      </c>
      <c r="I512" s="3" t="s">
        <v>101</v>
      </c>
      <c r="J512" s="3" t="s">
        <v>265</v>
      </c>
      <c r="K512" s="3" t="s">
        <v>410</v>
      </c>
      <c r="L512" s="4">
        <v>0.33333333333333331</v>
      </c>
      <c r="M512" s="3" t="s">
        <v>639</v>
      </c>
      <c r="N512" s="3" t="s">
        <v>24</v>
      </c>
      <c r="O512" s="3" t="s">
        <v>25</v>
      </c>
    </row>
    <row r="513" spans="1:15">
      <c r="A513" s="3" t="s">
        <v>15</v>
      </c>
      <c r="B513" s="3" t="str">
        <f>"FES1162739926"</f>
        <v>FES1162739926</v>
      </c>
      <c r="C513" s="3" t="s">
        <v>77</v>
      </c>
      <c r="D513" s="3">
        <v>0</v>
      </c>
      <c r="E513" s="3" t="str">
        <f>"2170731560"</f>
        <v>2170731560</v>
      </c>
      <c r="F513" s="3" t="s">
        <v>17</v>
      </c>
      <c r="G513" s="3" t="s">
        <v>18</v>
      </c>
      <c r="H513" s="3" t="s">
        <v>18</v>
      </c>
      <c r="I513" s="3" t="s">
        <v>309</v>
      </c>
      <c r="J513" s="3" t="s">
        <v>278</v>
      </c>
      <c r="K513" s="3" t="s">
        <v>410</v>
      </c>
      <c r="L513" s="4">
        <v>0.37013888888888885</v>
      </c>
      <c r="M513" s="3" t="s">
        <v>324</v>
      </c>
      <c r="N513" s="3" t="s">
        <v>24</v>
      </c>
      <c r="O513" s="3" t="s">
        <v>25</v>
      </c>
    </row>
    <row r="514" spans="1:15">
      <c r="A514" s="3" t="s">
        <v>15</v>
      </c>
      <c r="B514" s="3" t="str">
        <f>"FES1162739905"</f>
        <v>FES1162739905</v>
      </c>
      <c r="C514" s="3" t="s">
        <v>77</v>
      </c>
      <c r="D514" s="3">
        <v>0</v>
      </c>
      <c r="E514" s="3" t="str">
        <f>"2170731537"</f>
        <v>2170731537</v>
      </c>
      <c r="F514" s="3" t="s">
        <v>17</v>
      </c>
      <c r="G514" s="3" t="s">
        <v>18</v>
      </c>
      <c r="H514" s="3" t="s">
        <v>18</v>
      </c>
      <c r="I514" s="3" t="s">
        <v>29</v>
      </c>
      <c r="J514" s="3" t="s">
        <v>640</v>
      </c>
      <c r="K514" s="3" t="s">
        <v>410</v>
      </c>
      <c r="L514" s="4">
        <v>0.43611111111111112</v>
      </c>
      <c r="M514" s="3" t="s">
        <v>641</v>
      </c>
      <c r="N514" s="3" t="s">
        <v>24</v>
      </c>
      <c r="O514" s="3" t="s">
        <v>25</v>
      </c>
    </row>
    <row r="515" spans="1:15">
      <c r="A515" s="3" t="s">
        <v>15</v>
      </c>
      <c r="B515" s="3" t="str">
        <f>"FES1162739898"</f>
        <v>FES1162739898</v>
      </c>
      <c r="C515" s="3" t="s">
        <v>77</v>
      </c>
      <c r="D515" s="3">
        <v>1</v>
      </c>
      <c r="E515" s="3" t="str">
        <f>"2170731530"</f>
        <v>2170731530</v>
      </c>
      <c r="F515" s="3" t="s">
        <v>17</v>
      </c>
      <c r="G515" s="3" t="s">
        <v>18</v>
      </c>
      <c r="H515" s="3" t="s">
        <v>18</v>
      </c>
      <c r="I515" s="3" t="s">
        <v>171</v>
      </c>
      <c r="J515" s="3" t="s">
        <v>642</v>
      </c>
      <c r="K515" s="3" t="s">
        <v>410</v>
      </c>
      <c r="L515" s="4">
        <v>0.28194444444444444</v>
      </c>
      <c r="M515" s="3" t="s">
        <v>643</v>
      </c>
      <c r="N515" s="3" t="s">
        <v>24</v>
      </c>
      <c r="O515" s="3" t="s">
        <v>25</v>
      </c>
    </row>
    <row r="516" spans="1:15">
      <c r="A516" s="3" t="s">
        <v>15</v>
      </c>
      <c r="B516" s="3" t="str">
        <f>"FES1162739982"</f>
        <v>FES1162739982</v>
      </c>
      <c r="C516" s="3" t="s">
        <v>77</v>
      </c>
      <c r="D516" s="3">
        <v>0</v>
      </c>
      <c r="E516" s="3" t="str">
        <f>"217073613 1"</f>
        <v>217073613 1</v>
      </c>
      <c r="F516" s="3" t="s">
        <v>17</v>
      </c>
      <c r="G516" s="3" t="s">
        <v>18</v>
      </c>
      <c r="H516" s="3" t="s">
        <v>66</v>
      </c>
      <c r="I516" s="3" t="s">
        <v>67</v>
      </c>
      <c r="J516" s="3" t="s">
        <v>644</v>
      </c>
      <c r="K516" s="3" t="s">
        <v>410</v>
      </c>
      <c r="L516" s="4">
        <v>0.4201388888888889</v>
      </c>
      <c r="M516" s="3" t="s">
        <v>645</v>
      </c>
      <c r="N516" s="3" t="s">
        <v>24</v>
      </c>
      <c r="O516" s="3" t="s">
        <v>25</v>
      </c>
    </row>
    <row r="517" spans="1:15">
      <c r="A517" s="3" t="s">
        <v>15</v>
      </c>
      <c r="B517" s="3" t="str">
        <f>"FES1162739953"</f>
        <v>FES1162739953</v>
      </c>
      <c r="C517" s="3" t="s">
        <v>77</v>
      </c>
      <c r="D517" s="3">
        <v>0</v>
      </c>
      <c r="E517" s="3" t="str">
        <f>"2170731414"</f>
        <v>2170731414</v>
      </c>
      <c r="F517" s="3" t="s">
        <v>17</v>
      </c>
      <c r="G517" s="3" t="s">
        <v>18</v>
      </c>
      <c r="H517" s="3" t="s">
        <v>366</v>
      </c>
      <c r="I517" s="3" t="s">
        <v>67</v>
      </c>
      <c r="J517" s="3" t="s">
        <v>543</v>
      </c>
      <c r="K517" s="3" t="s">
        <v>410</v>
      </c>
      <c r="L517" s="4">
        <v>0.41388888888888892</v>
      </c>
      <c r="M517" s="3" t="s">
        <v>646</v>
      </c>
      <c r="N517" s="3" t="s">
        <v>24</v>
      </c>
      <c r="O517" s="3" t="s">
        <v>25</v>
      </c>
    </row>
    <row r="518" spans="1:15">
      <c r="A518" s="3" t="s">
        <v>15</v>
      </c>
      <c r="B518" s="3" t="str">
        <f>"FES1162739920"</f>
        <v>FES1162739920</v>
      </c>
      <c r="C518" s="3" t="s">
        <v>77</v>
      </c>
      <c r="D518" s="3">
        <v>1</v>
      </c>
      <c r="E518" s="3" t="str">
        <f>"2170731549"</f>
        <v>2170731549</v>
      </c>
      <c r="F518" s="3" t="s">
        <v>17</v>
      </c>
      <c r="G518" s="3" t="s">
        <v>18</v>
      </c>
      <c r="H518" s="3" t="s">
        <v>19</v>
      </c>
      <c r="I518" s="3" t="s">
        <v>51</v>
      </c>
      <c r="J518" s="3" t="s">
        <v>209</v>
      </c>
      <c r="K518" s="3" t="s">
        <v>410</v>
      </c>
      <c r="L518" s="4">
        <v>0.3576388888888889</v>
      </c>
      <c r="M518" s="3" t="s">
        <v>235</v>
      </c>
      <c r="N518" s="3" t="s">
        <v>24</v>
      </c>
      <c r="O518" s="3" t="s">
        <v>25</v>
      </c>
    </row>
    <row r="519" spans="1:15">
      <c r="A519" s="3" t="s">
        <v>15</v>
      </c>
      <c r="B519" s="3" t="str">
        <f>"FES1162739897"</f>
        <v>FES1162739897</v>
      </c>
      <c r="C519" s="3" t="s">
        <v>77</v>
      </c>
      <c r="D519" s="3">
        <v>1</v>
      </c>
      <c r="E519" s="3" t="str">
        <f>"2170731131"</f>
        <v>2170731131</v>
      </c>
      <c r="F519" s="3" t="s">
        <v>17</v>
      </c>
      <c r="G519" s="3" t="s">
        <v>18</v>
      </c>
      <c r="H519" s="3" t="s">
        <v>100</v>
      </c>
      <c r="I519" s="3" t="s">
        <v>101</v>
      </c>
      <c r="J519" s="3" t="s">
        <v>142</v>
      </c>
      <c r="K519" s="3" t="s">
        <v>410</v>
      </c>
      <c r="L519" s="4">
        <v>0.35000000000000003</v>
      </c>
      <c r="M519" s="3" t="s">
        <v>647</v>
      </c>
      <c r="N519" s="3" t="s">
        <v>24</v>
      </c>
      <c r="O519" s="3" t="s">
        <v>25</v>
      </c>
    </row>
    <row r="520" spans="1:15">
      <c r="A520" s="3" t="s">
        <v>15</v>
      </c>
      <c r="B520" s="3" t="str">
        <f>"FES1162739869"</f>
        <v>FES1162739869</v>
      </c>
      <c r="C520" s="3" t="s">
        <v>77</v>
      </c>
      <c r="D520" s="3">
        <v>1</v>
      </c>
      <c r="E520" s="3" t="str">
        <f>"2170730800"</f>
        <v>2170730800</v>
      </c>
      <c r="F520" s="3" t="s">
        <v>17</v>
      </c>
      <c r="G520" s="3" t="s">
        <v>18</v>
      </c>
      <c r="H520" s="3" t="s">
        <v>36</v>
      </c>
      <c r="I520" s="3" t="s">
        <v>37</v>
      </c>
      <c r="J520" s="3" t="s">
        <v>483</v>
      </c>
      <c r="K520" s="3" t="s">
        <v>410</v>
      </c>
      <c r="L520" s="4">
        <v>0.42222222222222222</v>
      </c>
      <c r="M520" s="3" t="s">
        <v>588</v>
      </c>
      <c r="N520" s="3" t="s">
        <v>24</v>
      </c>
      <c r="O520" s="3" t="s">
        <v>25</v>
      </c>
    </row>
    <row r="521" spans="1:15">
      <c r="A521" s="3" t="s">
        <v>15</v>
      </c>
      <c r="B521" s="3" t="str">
        <f>"FES1162739922"</f>
        <v>FES1162739922</v>
      </c>
      <c r="C521" s="3" t="s">
        <v>77</v>
      </c>
      <c r="D521" s="3">
        <v>1</v>
      </c>
      <c r="E521" s="3" t="str">
        <f>"2170731556"</f>
        <v>2170731556</v>
      </c>
      <c r="F521" s="3" t="s">
        <v>17</v>
      </c>
      <c r="G521" s="3" t="s">
        <v>18</v>
      </c>
      <c r="H521" s="3" t="s">
        <v>100</v>
      </c>
      <c r="I521" s="3" t="s">
        <v>117</v>
      </c>
      <c r="J521" s="3" t="s">
        <v>118</v>
      </c>
      <c r="K521" s="3" t="s">
        <v>410</v>
      </c>
      <c r="L521" s="4">
        <v>0.52083333333333337</v>
      </c>
      <c r="M521" s="3" t="s">
        <v>648</v>
      </c>
      <c r="N521" s="3" t="s">
        <v>24</v>
      </c>
      <c r="O521" s="3" t="s">
        <v>25</v>
      </c>
    </row>
    <row r="522" spans="1:15">
      <c r="A522" s="3" t="s">
        <v>15</v>
      </c>
      <c r="B522" s="3" t="str">
        <f>"FES1162739946"</f>
        <v>FES1162739946</v>
      </c>
      <c r="C522" s="3" t="s">
        <v>77</v>
      </c>
      <c r="D522" s="3">
        <v>1</v>
      </c>
      <c r="E522" s="3" t="str">
        <f>"21707311114"</f>
        <v>21707311114</v>
      </c>
      <c r="F522" s="3" t="s">
        <v>17</v>
      </c>
      <c r="G522" s="3" t="s">
        <v>18</v>
      </c>
      <c r="H522" s="3" t="s">
        <v>46</v>
      </c>
      <c r="I522" s="3" t="s">
        <v>47</v>
      </c>
      <c r="J522" s="3" t="s">
        <v>241</v>
      </c>
      <c r="K522" s="3" t="s">
        <v>410</v>
      </c>
      <c r="L522" s="4">
        <v>0.43402777777777773</v>
      </c>
      <c r="M522" s="3" t="s">
        <v>649</v>
      </c>
      <c r="N522" s="3" t="s">
        <v>24</v>
      </c>
      <c r="O522" s="3" t="s">
        <v>25</v>
      </c>
    </row>
    <row r="523" spans="1:15">
      <c r="A523" s="3" t="s">
        <v>15</v>
      </c>
      <c r="B523" s="3" t="str">
        <f>"FES1162739967"</f>
        <v>FES1162739967</v>
      </c>
      <c r="C523" s="3" t="s">
        <v>77</v>
      </c>
      <c r="D523" s="3">
        <v>0</v>
      </c>
      <c r="E523" s="3" t="str">
        <f>"2170731593"</f>
        <v>2170731593</v>
      </c>
      <c r="F523" s="3" t="s">
        <v>17</v>
      </c>
      <c r="G523" s="3" t="s">
        <v>18</v>
      </c>
      <c r="H523" s="3" t="s">
        <v>100</v>
      </c>
      <c r="I523" s="3" t="s">
        <v>101</v>
      </c>
      <c r="J523" s="3" t="s">
        <v>265</v>
      </c>
      <c r="K523" s="3" t="s">
        <v>410</v>
      </c>
      <c r="L523" s="4">
        <v>0.33402777777777781</v>
      </c>
      <c r="M523" s="3" t="s">
        <v>639</v>
      </c>
      <c r="N523" s="3" t="s">
        <v>24</v>
      </c>
      <c r="O523" s="3" t="s">
        <v>25</v>
      </c>
    </row>
    <row r="524" spans="1:15">
      <c r="A524" s="3" t="s">
        <v>15</v>
      </c>
      <c r="B524" s="3" t="str">
        <f>"FES1162739908"</f>
        <v>FES1162739908</v>
      </c>
      <c r="C524" s="3" t="s">
        <v>77</v>
      </c>
      <c r="D524" s="3">
        <v>1</v>
      </c>
      <c r="E524" s="3" t="str">
        <f>"2170728339"</f>
        <v>2170728339</v>
      </c>
      <c r="F524" s="3" t="s">
        <v>17</v>
      </c>
      <c r="G524" s="3" t="s">
        <v>18</v>
      </c>
      <c r="H524" s="3" t="s">
        <v>36</v>
      </c>
      <c r="I524" s="3" t="s">
        <v>37</v>
      </c>
      <c r="J524" s="3" t="s">
        <v>650</v>
      </c>
      <c r="K524" s="3" t="s">
        <v>410</v>
      </c>
      <c r="L524" s="4">
        <v>0.40277777777777773</v>
      </c>
      <c r="M524" s="3" t="s">
        <v>651</v>
      </c>
      <c r="N524" s="3" t="s">
        <v>24</v>
      </c>
      <c r="O524" s="3" t="s">
        <v>25</v>
      </c>
    </row>
    <row r="525" spans="1:15">
      <c r="A525" s="3" t="s">
        <v>15</v>
      </c>
      <c r="B525" s="3" t="str">
        <f>"FES1162739902"</f>
        <v>FES1162739902</v>
      </c>
      <c r="C525" s="3" t="s">
        <v>77</v>
      </c>
      <c r="D525" s="3">
        <v>1</v>
      </c>
      <c r="E525" s="3" t="str">
        <f>"2170731248"</f>
        <v>2170731248</v>
      </c>
      <c r="F525" s="3" t="s">
        <v>17</v>
      </c>
      <c r="G525" s="3" t="s">
        <v>18</v>
      </c>
      <c r="H525" s="3" t="s">
        <v>46</v>
      </c>
      <c r="I525" s="3" t="s">
        <v>47</v>
      </c>
      <c r="J525" s="3" t="s">
        <v>48</v>
      </c>
      <c r="K525" s="3" t="s">
        <v>410</v>
      </c>
      <c r="L525" s="4">
        <v>0.40625</v>
      </c>
      <c r="M525" s="3" t="s">
        <v>652</v>
      </c>
      <c r="N525" s="3" t="s">
        <v>24</v>
      </c>
      <c r="O525" s="3" t="s">
        <v>25</v>
      </c>
    </row>
    <row r="526" spans="1:15">
      <c r="A526" s="3" t="s">
        <v>15</v>
      </c>
      <c r="B526" s="3" t="str">
        <f>"FES1162739879"</f>
        <v>FES1162739879</v>
      </c>
      <c r="C526" s="3" t="s">
        <v>77</v>
      </c>
      <c r="D526" s="3">
        <v>0</v>
      </c>
      <c r="E526" s="3" t="str">
        <f>"2170728610"</f>
        <v>2170728610</v>
      </c>
      <c r="F526" s="3" t="s">
        <v>17</v>
      </c>
      <c r="G526" s="3" t="s">
        <v>18</v>
      </c>
      <c r="H526" s="3" t="s">
        <v>36</v>
      </c>
      <c r="I526" s="3" t="s">
        <v>37</v>
      </c>
      <c r="J526" s="3" t="s">
        <v>54</v>
      </c>
      <c r="K526" s="3" t="s">
        <v>410</v>
      </c>
      <c r="L526" s="4">
        <v>0.43402777777777773</v>
      </c>
      <c r="M526" s="3" t="s">
        <v>55</v>
      </c>
      <c r="N526" s="3" t="s">
        <v>24</v>
      </c>
      <c r="O526" s="3" t="s">
        <v>25</v>
      </c>
    </row>
    <row r="527" spans="1:15">
      <c r="A527" s="3" t="s">
        <v>15</v>
      </c>
      <c r="B527" s="3" t="str">
        <f>"FES1162739910"</f>
        <v>FES1162739910</v>
      </c>
      <c r="C527" s="3" t="s">
        <v>77</v>
      </c>
      <c r="D527" s="3">
        <v>0</v>
      </c>
      <c r="E527" s="3" t="str">
        <f>"2170729172"</f>
        <v>2170729172</v>
      </c>
      <c r="F527" s="3" t="s">
        <v>17</v>
      </c>
      <c r="G527" s="3" t="s">
        <v>18</v>
      </c>
      <c r="H527" s="3" t="s">
        <v>18</v>
      </c>
      <c r="I527" s="3" t="s">
        <v>291</v>
      </c>
      <c r="J527" s="3" t="s">
        <v>473</v>
      </c>
      <c r="K527" s="3" t="s">
        <v>410</v>
      </c>
      <c r="L527" s="4">
        <v>0.33333333333333331</v>
      </c>
      <c r="M527" s="3" t="s">
        <v>474</v>
      </c>
      <c r="N527" s="3" t="s">
        <v>24</v>
      </c>
      <c r="O527" s="3" t="s">
        <v>25</v>
      </c>
    </row>
    <row r="528" spans="1:15">
      <c r="A528" s="3" t="s">
        <v>15</v>
      </c>
      <c r="B528" s="3" t="str">
        <f>"FES1162739954"</f>
        <v>FES1162739954</v>
      </c>
      <c r="C528" s="3" t="s">
        <v>77</v>
      </c>
      <c r="D528" s="3">
        <v>0</v>
      </c>
      <c r="E528" s="3" t="str">
        <f>"2170731468"</f>
        <v>2170731468</v>
      </c>
      <c r="F528" s="3" t="s">
        <v>17</v>
      </c>
      <c r="G528" s="3" t="s">
        <v>18</v>
      </c>
      <c r="H528" s="3" t="s">
        <v>66</v>
      </c>
      <c r="I528" s="3" t="s">
        <v>158</v>
      </c>
      <c r="J528" s="3" t="s">
        <v>541</v>
      </c>
      <c r="K528" s="3" t="s">
        <v>410</v>
      </c>
      <c r="L528" s="4">
        <v>0.63958333333333328</v>
      </c>
      <c r="M528" s="3" t="s">
        <v>542</v>
      </c>
      <c r="N528" s="3" t="s">
        <v>24</v>
      </c>
      <c r="O528" s="3" t="s">
        <v>25</v>
      </c>
    </row>
    <row r="529" spans="1:15">
      <c r="A529" s="3" t="s">
        <v>15</v>
      </c>
      <c r="B529" s="3" t="str">
        <f>"FES1162739985"</f>
        <v>FES1162739985</v>
      </c>
      <c r="C529" s="3" t="s">
        <v>77</v>
      </c>
      <c r="D529" s="3">
        <v>0</v>
      </c>
      <c r="E529" s="3" t="str">
        <f>"2170731616"</f>
        <v>2170731616</v>
      </c>
      <c r="F529" s="3" t="s">
        <v>17</v>
      </c>
      <c r="G529" s="3" t="s">
        <v>18</v>
      </c>
      <c r="H529" s="3" t="s">
        <v>100</v>
      </c>
      <c r="I529" s="3" t="s">
        <v>101</v>
      </c>
      <c r="J529" s="3" t="s">
        <v>653</v>
      </c>
      <c r="K529" s="3" t="s">
        <v>410</v>
      </c>
      <c r="L529" s="4">
        <v>0.38541666666666669</v>
      </c>
      <c r="M529" s="3" t="s">
        <v>654</v>
      </c>
      <c r="N529" s="3" t="s">
        <v>24</v>
      </c>
      <c r="O529" s="3" t="s">
        <v>25</v>
      </c>
    </row>
    <row r="530" spans="1:15">
      <c r="A530" s="3" t="s">
        <v>15</v>
      </c>
      <c r="B530" s="3" t="str">
        <f>"FES1162739930"</f>
        <v>FES1162739930</v>
      </c>
      <c r="C530" s="3" t="s">
        <v>77</v>
      </c>
      <c r="D530" s="3">
        <v>0</v>
      </c>
      <c r="E530" s="3" t="str">
        <f>"2170731566"</f>
        <v>2170731566</v>
      </c>
      <c r="F530" s="3" t="s">
        <v>17</v>
      </c>
      <c r="G530" s="3" t="s">
        <v>18</v>
      </c>
      <c r="H530" s="3" t="s">
        <v>100</v>
      </c>
      <c r="I530" s="3" t="s">
        <v>117</v>
      </c>
      <c r="J530" s="3" t="s">
        <v>118</v>
      </c>
      <c r="K530" s="3" t="s">
        <v>410</v>
      </c>
      <c r="L530" s="4">
        <v>0.52083333333333337</v>
      </c>
      <c r="M530" s="3" t="s">
        <v>648</v>
      </c>
      <c r="N530" s="3" t="s">
        <v>24</v>
      </c>
      <c r="O530" s="3" t="s">
        <v>25</v>
      </c>
    </row>
    <row r="531" spans="1:15">
      <c r="A531" s="3" t="s">
        <v>15</v>
      </c>
      <c r="B531" s="3" t="str">
        <f>"FES1162739957"</f>
        <v>FES1162739957</v>
      </c>
      <c r="C531" s="3" t="s">
        <v>77</v>
      </c>
      <c r="D531" s="3">
        <v>0</v>
      </c>
      <c r="E531" s="3" t="str">
        <f>"2170731580"</f>
        <v>2170731580</v>
      </c>
      <c r="F531" s="3" t="s">
        <v>17</v>
      </c>
      <c r="G531" s="3" t="s">
        <v>18</v>
      </c>
      <c r="H531" s="3" t="s">
        <v>100</v>
      </c>
      <c r="I531" s="3" t="s">
        <v>101</v>
      </c>
      <c r="J531" s="3" t="s">
        <v>655</v>
      </c>
      <c r="K531" s="3" t="s">
        <v>410</v>
      </c>
      <c r="L531" s="4">
        <v>0.38680555555555557</v>
      </c>
      <c r="M531" s="3" t="s">
        <v>656</v>
      </c>
      <c r="N531" s="3" t="s">
        <v>24</v>
      </c>
      <c r="O531" s="3" t="s">
        <v>25</v>
      </c>
    </row>
    <row r="532" spans="1:15">
      <c r="A532" s="3" t="s">
        <v>15</v>
      </c>
      <c r="B532" s="3" t="str">
        <f>"FES1162739945"</f>
        <v>FES1162739945</v>
      </c>
      <c r="C532" s="3" t="s">
        <v>77</v>
      </c>
      <c r="D532" s="3">
        <v>0</v>
      </c>
      <c r="E532" s="3" t="str">
        <f>"2170730798"</f>
        <v>2170730798</v>
      </c>
      <c r="F532" s="3" t="s">
        <v>17</v>
      </c>
      <c r="G532" s="3" t="s">
        <v>18</v>
      </c>
      <c r="H532" s="3" t="s">
        <v>100</v>
      </c>
      <c r="I532" s="3" t="s">
        <v>101</v>
      </c>
      <c r="J532" s="3" t="s">
        <v>653</v>
      </c>
      <c r="K532" s="3" t="s">
        <v>410</v>
      </c>
      <c r="L532" s="4">
        <v>0.38541666666666669</v>
      </c>
      <c r="M532" s="3" t="s">
        <v>654</v>
      </c>
      <c r="N532" s="3" t="s">
        <v>24</v>
      </c>
      <c r="O532" s="3" t="s">
        <v>25</v>
      </c>
    </row>
    <row r="533" spans="1:15">
      <c r="A533" s="3" t="s">
        <v>15</v>
      </c>
      <c r="B533" s="3" t="str">
        <f>"FES1162739940"</f>
        <v>FES1162739940</v>
      </c>
      <c r="C533" s="3" t="s">
        <v>77</v>
      </c>
      <c r="D533" s="3">
        <v>0</v>
      </c>
      <c r="E533" s="3" t="str">
        <f>"2170731578"</f>
        <v>2170731578</v>
      </c>
      <c r="F533" s="3" t="s">
        <v>17</v>
      </c>
      <c r="G533" s="3" t="s">
        <v>18</v>
      </c>
      <c r="H533" s="3" t="s">
        <v>100</v>
      </c>
      <c r="I533" s="3" t="s">
        <v>101</v>
      </c>
      <c r="J533" s="3" t="s">
        <v>265</v>
      </c>
      <c r="K533" s="3" t="s">
        <v>410</v>
      </c>
      <c r="L533" s="4">
        <v>0.33402777777777781</v>
      </c>
      <c r="M533" s="3" t="s">
        <v>657</v>
      </c>
      <c r="N533" s="3" t="s">
        <v>24</v>
      </c>
      <c r="O533" s="3" t="s">
        <v>25</v>
      </c>
    </row>
    <row r="534" spans="1:15">
      <c r="A534" s="3" t="s">
        <v>15</v>
      </c>
      <c r="B534" s="3" t="str">
        <f>"FES1162739947"</f>
        <v>FES1162739947</v>
      </c>
      <c r="C534" s="3" t="s">
        <v>77</v>
      </c>
      <c r="D534" s="3">
        <v>0</v>
      </c>
      <c r="E534" s="3" t="str">
        <f>"2170731128"</f>
        <v>2170731128</v>
      </c>
      <c r="F534" s="3" t="s">
        <v>17</v>
      </c>
      <c r="G534" s="3" t="s">
        <v>18</v>
      </c>
      <c r="H534" s="3" t="s">
        <v>100</v>
      </c>
      <c r="I534" s="3" t="s">
        <v>101</v>
      </c>
      <c r="J534" s="3" t="s">
        <v>125</v>
      </c>
      <c r="K534" s="3" t="s">
        <v>410</v>
      </c>
      <c r="L534" s="4">
        <v>0.3</v>
      </c>
      <c r="M534" s="3" t="s">
        <v>272</v>
      </c>
      <c r="N534" s="3" t="s">
        <v>24</v>
      </c>
      <c r="O534" s="3" t="s">
        <v>25</v>
      </c>
    </row>
    <row r="535" spans="1:15">
      <c r="A535" s="3" t="s">
        <v>15</v>
      </c>
      <c r="B535" s="3" t="str">
        <f>"FES1162739919"</f>
        <v>FES1162739919</v>
      </c>
      <c r="C535" s="3" t="s">
        <v>77</v>
      </c>
      <c r="D535" s="3">
        <v>0</v>
      </c>
      <c r="E535" s="3" t="str">
        <f>"2170731547"</f>
        <v>2170731547</v>
      </c>
      <c r="F535" s="3" t="s">
        <v>17</v>
      </c>
      <c r="G535" s="3" t="s">
        <v>18</v>
      </c>
      <c r="H535" s="3" t="s">
        <v>100</v>
      </c>
      <c r="I535" s="3" t="s">
        <v>117</v>
      </c>
      <c r="J535" s="3" t="s">
        <v>335</v>
      </c>
      <c r="K535" s="3" t="s">
        <v>410</v>
      </c>
      <c r="L535" s="4">
        <v>0.51250000000000007</v>
      </c>
      <c r="M535" s="3" t="s">
        <v>626</v>
      </c>
      <c r="N535" s="3" t="s">
        <v>24</v>
      </c>
      <c r="O535" s="3" t="s">
        <v>25</v>
      </c>
    </row>
    <row r="536" spans="1:15">
      <c r="A536" s="3" t="s">
        <v>15</v>
      </c>
      <c r="B536" s="3" t="str">
        <f>"FES1162739949"</f>
        <v>FES1162739949</v>
      </c>
      <c r="C536" s="3" t="s">
        <v>77</v>
      </c>
      <c r="D536" s="3">
        <v>0</v>
      </c>
      <c r="E536" s="3" t="str">
        <f>"2170731292"</f>
        <v>2170731292</v>
      </c>
      <c r="F536" s="3" t="s">
        <v>17</v>
      </c>
      <c r="G536" s="3" t="s">
        <v>18</v>
      </c>
      <c r="H536" s="3" t="s">
        <v>100</v>
      </c>
      <c r="I536" s="3" t="s">
        <v>101</v>
      </c>
      <c r="J536" s="3" t="s">
        <v>131</v>
      </c>
      <c r="K536" s="3" t="s">
        <v>410</v>
      </c>
      <c r="L536" s="4">
        <v>0.37083333333333335</v>
      </c>
      <c r="M536" s="3" t="s">
        <v>132</v>
      </c>
      <c r="N536" s="3" t="s">
        <v>24</v>
      </c>
      <c r="O536" s="3" t="s">
        <v>25</v>
      </c>
    </row>
    <row r="537" spans="1:15">
      <c r="A537" s="3" t="s">
        <v>15</v>
      </c>
      <c r="B537" s="3" t="str">
        <f>"FES1162739925"</f>
        <v>FES1162739925</v>
      </c>
      <c r="C537" s="3" t="s">
        <v>77</v>
      </c>
      <c r="D537" s="3">
        <v>0</v>
      </c>
      <c r="E537" s="3" t="str">
        <f>"2170731559"</f>
        <v>2170731559</v>
      </c>
      <c r="F537" s="3" t="s">
        <v>17</v>
      </c>
      <c r="G537" s="3" t="s">
        <v>18</v>
      </c>
      <c r="H537" s="3" t="s">
        <v>18</v>
      </c>
      <c r="I537" s="3" t="s">
        <v>309</v>
      </c>
      <c r="J537" s="3" t="s">
        <v>278</v>
      </c>
      <c r="K537" s="3" t="s">
        <v>410</v>
      </c>
      <c r="L537" s="4">
        <v>0.37013888888888885</v>
      </c>
      <c r="M537" s="3" t="s">
        <v>324</v>
      </c>
      <c r="N537" s="3" t="s">
        <v>24</v>
      </c>
      <c r="O537" s="3" t="s">
        <v>25</v>
      </c>
    </row>
    <row r="538" spans="1:15">
      <c r="A538" s="3" t="s">
        <v>15</v>
      </c>
      <c r="B538" s="3" t="str">
        <f>"FES1162739913"</f>
        <v>FES1162739913</v>
      </c>
      <c r="C538" s="3" t="s">
        <v>77</v>
      </c>
      <c r="D538" s="3">
        <v>0</v>
      </c>
      <c r="E538" s="3" t="str">
        <f>"2170730636"</f>
        <v>2170730636</v>
      </c>
      <c r="F538" s="3" t="s">
        <v>17</v>
      </c>
      <c r="G538" s="3" t="s">
        <v>18</v>
      </c>
      <c r="H538" s="3" t="s">
        <v>18</v>
      </c>
      <c r="I538" s="3" t="s">
        <v>453</v>
      </c>
      <c r="J538" s="3" t="s">
        <v>658</v>
      </c>
      <c r="K538" s="3" t="s">
        <v>410</v>
      </c>
      <c r="L538" s="4">
        <v>0.33055555555555555</v>
      </c>
      <c r="M538" s="3" t="s">
        <v>659</v>
      </c>
      <c r="N538" s="3" t="s">
        <v>24</v>
      </c>
      <c r="O538" s="3" t="s">
        <v>25</v>
      </c>
    </row>
    <row r="539" spans="1:15">
      <c r="A539" s="3" t="s">
        <v>15</v>
      </c>
      <c r="B539" s="3" t="str">
        <f>"FES1162739932"</f>
        <v>FES1162739932</v>
      </c>
      <c r="C539" s="3" t="s">
        <v>77</v>
      </c>
      <c r="D539" s="3">
        <v>1</v>
      </c>
      <c r="E539" s="3" t="str">
        <f>"2170731567"</f>
        <v>2170731567</v>
      </c>
      <c r="F539" s="3" t="s">
        <v>17</v>
      </c>
      <c r="G539" s="3" t="s">
        <v>18</v>
      </c>
      <c r="H539" s="3" t="s">
        <v>66</v>
      </c>
      <c r="I539" s="3" t="s">
        <v>177</v>
      </c>
      <c r="J539" s="3" t="s">
        <v>590</v>
      </c>
      <c r="K539" s="3" t="s">
        <v>410</v>
      </c>
      <c r="L539" s="4">
        <v>0.43055555555555558</v>
      </c>
      <c r="M539" s="3" t="s">
        <v>591</v>
      </c>
      <c r="N539" s="3" t="s">
        <v>24</v>
      </c>
      <c r="O539" s="3" t="s">
        <v>25</v>
      </c>
    </row>
    <row r="540" spans="1:15">
      <c r="A540" s="3" t="s">
        <v>15</v>
      </c>
      <c r="B540" s="3" t="str">
        <f>"FES1162739899"</f>
        <v>FES1162739899</v>
      </c>
      <c r="C540" s="3" t="s">
        <v>77</v>
      </c>
      <c r="D540" s="3">
        <v>1</v>
      </c>
      <c r="E540" s="3" t="str">
        <f>"2170731531"</f>
        <v>2170731531</v>
      </c>
      <c r="F540" s="3" t="s">
        <v>17</v>
      </c>
      <c r="G540" s="3" t="s">
        <v>18</v>
      </c>
      <c r="H540" s="3" t="s">
        <v>66</v>
      </c>
      <c r="I540" s="3" t="s">
        <v>67</v>
      </c>
      <c r="J540" s="3" t="s">
        <v>660</v>
      </c>
      <c r="K540" s="3" t="s">
        <v>410</v>
      </c>
      <c r="L540" s="4">
        <v>0.39930555555555558</v>
      </c>
      <c r="M540" s="3" t="s">
        <v>470</v>
      </c>
      <c r="N540" s="3" t="s">
        <v>24</v>
      </c>
      <c r="O540" s="3" t="s">
        <v>661</v>
      </c>
    </row>
    <row r="541" spans="1:15">
      <c r="A541" s="5" t="s">
        <v>15</v>
      </c>
      <c r="B541" s="9" t="str">
        <f>"FES1162739912"</f>
        <v>FES1162739912</v>
      </c>
      <c r="C541" s="9" t="s">
        <v>77</v>
      </c>
      <c r="D541" s="9">
        <v>1</v>
      </c>
      <c r="E541" s="9" t="str">
        <f>"2170730034"</f>
        <v>2170730034</v>
      </c>
      <c r="F541" s="9" t="s">
        <v>17</v>
      </c>
      <c r="G541" s="9" t="s">
        <v>18</v>
      </c>
      <c r="H541" s="9" t="s">
        <v>66</v>
      </c>
      <c r="I541" s="9" t="s">
        <v>158</v>
      </c>
      <c r="J541" s="9" t="s">
        <v>159</v>
      </c>
      <c r="K541" s="9" t="s">
        <v>662</v>
      </c>
      <c r="L541" s="10">
        <v>0.62847222222222221</v>
      </c>
      <c r="M541" s="9" t="s">
        <v>663</v>
      </c>
      <c r="N541" s="9" t="s">
        <v>24</v>
      </c>
      <c r="O541" s="9" t="s">
        <v>664</v>
      </c>
    </row>
    <row r="542" spans="1:15">
      <c r="A542" s="3" t="s">
        <v>15</v>
      </c>
      <c r="B542" s="3" t="str">
        <f>"FES1162739966"</f>
        <v>FES1162739966</v>
      </c>
      <c r="C542" s="3" t="s">
        <v>77</v>
      </c>
      <c r="D542" s="3">
        <v>1</v>
      </c>
      <c r="E542" s="3" t="str">
        <f>"2170731591"</f>
        <v>2170731591</v>
      </c>
      <c r="F542" s="3" t="s">
        <v>17</v>
      </c>
      <c r="G542" s="3" t="s">
        <v>18</v>
      </c>
      <c r="H542" s="3" t="s">
        <v>18</v>
      </c>
      <c r="I542" s="3" t="s">
        <v>151</v>
      </c>
      <c r="J542" s="3" t="s">
        <v>665</v>
      </c>
      <c r="K542" s="3" t="s">
        <v>410</v>
      </c>
      <c r="L542" s="4">
        <v>0.4375</v>
      </c>
      <c r="M542" s="3" t="s">
        <v>666</v>
      </c>
      <c r="N542" s="3" t="s">
        <v>24</v>
      </c>
      <c r="O542" s="3" t="s">
        <v>25</v>
      </c>
    </row>
    <row r="543" spans="1:15">
      <c r="A543" s="3" t="s">
        <v>15</v>
      </c>
      <c r="B543" s="3" t="str">
        <f>"FES1162739951"</f>
        <v>FES1162739951</v>
      </c>
      <c r="C543" s="3" t="s">
        <v>77</v>
      </c>
      <c r="D543" s="3">
        <v>0</v>
      </c>
      <c r="E543" s="3" t="str">
        <f>"2170731378"</f>
        <v>2170731378</v>
      </c>
      <c r="F543" s="3" t="s">
        <v>17</v>
      </c>
      <c r="G543" s="3" t="s">
        <v>18</v>
      </c>
      <c r="H543" s="3" t="s">
        <v>215</v>
      </c>
      <c r="I543" s="3" t="s">
        <v>216</v>
      </c>
      <c r="J543" s="3" t="s">
        <v>217</v>
      </c>
      <c r="K543" s="3" t="s">
        <v>410</v>
      </c>
      <c r="L543" s="4">
        <v>0.4375</v>
      </c>
      <c r="M543" s="3" t="s">
        <v>217</v>
      </c>
      <c r="N543" s="3" t="s">
        <v>24</v>
      </c>
      <c r="O543" s="3" t="s">
        <v>25</v>
      </c>
    </row>
    <row r="544" spans="1:15">
      <c r="A544" s="3" t="s">
        <v>15</v>
      </c>
      <c r="B544" s="3" t="str">
        <f>"FES1162739904"</f>
        <v>FES1162739904</v>
      </c>
      <c r="C544" s="3" t="s">
        <v>77</v>
      </c>
      <c r="D544" s="3">
        <v>0</v>
      </c>
      <c r="E544" s="3" t="str">
        <f>"2170731535"</f>
        <v>2170731535</v>
      </c>
      <c r="F544" s="3" t="s">
        <v>17</v>
      </c>
      <c r="G544" s="3" t="s">
        <v>18</v>
      </c>
      <c r="H544" s="3" t="s">
        <v>18</v>
      </c>
      <c r="I544" s="3" t="s">
        <v>168</v>
      </c>
      <c r="J544" s="3" t="s">
        <v>667</v>
      </c>
      <c r="K544" s="3" t="s">
        <v>410</v>
      </c>
      <c r="L544" s="4">
        <v>0.36805555555555558</v>
      </c>
      <c r="M544" s="3" t="s">
        <v>668</v>
      </c>
      <c r="N544" s="3" t="s">
        <v>24</v>
      </c>
      <c r="O544" s="3" t="s">
        <v>25</v>
      </c>
    </row>
    <row r="545" spans="1:15">
      <c r="A545" s="3" t="s">
        <v>15</v>
      </c>
      <c r="B545" s="3" t="str">
        <f>"FES1162739924"</f>
        <v>FES1162739924</v>
      </c>
      <c r="C545" s="3" t="s">
        <v>77</v>
      </c>
      <c r="D545" s="3">
        <v>0</v>
      </c>
      <c r="E545" s="3" t="str">
        <f>"2170731558"</f>
        <v>2170731558</v>
      </c>
      <c r="F545" s="3" t="s">
        <v>17</v>
      </c>
      <c r="G545" s="3" t="s">
        <v>18</v>
      </c>
      <c r="H545" s="3" t="s">
        <v>18</v>
      </c>
      <c r="I545" s="3" t="s">
        <v>29</v>
      </c>
      <c r="J545" s="3" t="s">
        <v>669</v>
      </c>
      <c r="K545" s="3" t="s">
        <v>410</v>
      </c>
      <c r="L545" s="4">
        <v>0.4375</v>
      </c>
      <c r="M545" s="3" t="s">
        <v>670</v>
      </c>
      <c r="N545" s="3" t="s">
        <v>24</v>
      </c>
      <c r="O545" s="3" t="s">
        <v>25</v>
      </c>
    </row>
    <row r="546" spans="1:15">
      <c r="A546" s="3" t="s">
        <v>15</v>
      </c>
      <c r="B546" s="3" t="str">
        <f>"FES1162739916"</f>
        <v>FES1162739916</v>
      </c>
      <c r="C546" s="3" t="s">
        <v>77</v>
      </c>
      <c r="D546" s="3">
        <v>0</v>
      </c>
      <c r="E546" s="3" t="str">
        <f>"2170731387"</f>
        <v>2170731387</v>
      </c>
      <c r="F546" s="3" t="s">
        <v>17</v>
      </c>
      <c r="G546" s="3" t="s">
        <v>18</v>
      </c>
      <c r="H546" s="3" t="s">
        <v>70</v>
      </c>
      <c r="I546" s="3" t="s">
        <v>71</v>
      </c>
      <c r="J546" s="3" t="s">
        <v>671</v>
      </c>
      <c r="K546" s="3" t="s">
        <v>410</v>
      </c>
      <c r="L546" s="4">
        <v>0.3972222222222222</v>
      </c>
      <c r="M546" s="3" t="s">
        <v>249</v>
      </c>
      <c r="N546" s="3" t="s">
        <v>24</v>
      </c>
      <c r="O546" s="3" t="s">
        <v>25</v>
      </c>
    </row>
    <row r="547" spans="1:15">
      <c r="A547" s="3" t="s">
        <v>15</v>
      </c>
      <c r="B547" s="3" t="str">
        <f>"FES1162739791"</f>
        <v>FES1162739791</v>
      </c>
      <c r="C547" s="3" t="s">
        <v>77</v>
      </c>
      <c r="D547" s="3">
        <v>1</v>
      </c>
      <c r="E547" s="3" t="str">
        <f>"21707361439"</f>
        <v>21707361439</v>
      </c>
      <c r="F547" s="3" t="s">
        <v>17</v>
      </c>
      <c r="G547" s="3" t="s">
        <v>18</v>
      </c>
      <c r="H547" s="3" t="s">
        <v>36</v>
      </c>
      <c r="I547" s="3" t="s">
        <v>174</v>
      </c>
      <c r="J547" s="3" t="s">
        <v>672</v>
      </c>
      <c r="K547" s="3" t="s">
        <v>410</v>
      </c>
      <c r="L547" s="4">
        <v>0.54166666666666663</v>
      </c>
      <c r="M547" s="3" t="s">
        <v>673</v>
      </c>
      <c r="N547" s="3" t="s">
        <v>24</v>
      </c>
      <c r="O547" s="3" t="s">
        <v>25</v>
      </c>
    </row>
    <row r="548" spans="1:15">
      <c r="A548" s="3" t="s">
        <v>15</v>
      </c>
      <c r="B548" s="3" t="str">
        <f>"FES1162739815"</f>
        <v>FES1162739815</v>
      </c>
      <c r="C548" s="3" t="s">
        <v>77</v>
      </c>
      <c r="D548" s="3">
        <v>1</v>
      </c>
      <c r="E548" s="3" t="str">
        <f>"2170731456"</f>
        <v>2170731456</v>
      </c>
      <c r="F548" s="3" t="s">
        <v>17</v>
      </c>
      <c r="G548" s="3" t="s">
        <v>18</v>
      </c>
      <c r="H548" s="3" t="s">
        <v>46</v>
      </c>
      <c r="I548" s="3" t="s">
        <v>47</v>
      </c>
      <c r="J548" s="3" t="s">
        <v>48</v>
      </c>
      <c r="K548" s="3" t="s">
        <v>410</v>
      </c>
      <c r="L548" s="4">
        <v>0.4069444444444445</v>
      </c>
      <c r="M548" s="3" t="s">
        <v>652</v>
      </c>
      <c r="N548" s="3" t="s">
        <v>24</v>
      </c>
      <c r="O548" s="3" t="s">
        <v>25</v>
      </c>
    </row>
    <row r="549" spans="1:15">
      <c r="A549" s="3" t="s">
        <v>15</v>
      </c>
      <c r="B549" s="3" t="str">
        <f>"FES1162739975"</f>
        <v>FES1162739975</v>
      </c>
      <c r="C549" s="3" t="s">
        <v>77</v>
      </c>
      <c r="D549" s="3">
        <v>0</v>
      </c>
      <c r="E549" s="3" t="str">
        <f>"2170731603"</f>
        <v>2170731603</v>
      </c>
      <c r="F549" s="3" t="s">
        <v>17</v>
      </c>
      <c r="G549" s="3" t="s">
        <v>18</v>
      </c>
      <c r="H549" s="3" t="s">
        <v>18</v>
      </c>
      <c r="I549" s="3" t="s">
        <v>29</v>
      </c>
      <c r="J549" s="3" t="s">
        <v>568</v>
      </c>
      <c r="K549" s="3" t="s">
        <v>410</v>
      </c>
      <c r="L549" s="4">
        <v>0.3215277777777778</v>
      </c>
      <c r="M549" s="3" t="s">
        <v>632</v>
      </c>
      <c r="N549" s="3" t="s">
        <v>24</v>
      </c>
      <c r="O549" s="3" t="s">
        <v>25</v>
      </c>
    </row>
    <row r="550" spans="1:15">
      <c r="A550" s="3" t="s">
        <v>15</v>
      </c>
      <c r="B550" s="3" t="str">
        <f>"FES1162739917"</f>
        <v>FES1162739917</v>
      </c>
      <c r="C550" s="3" t="s">
        <v>77</v>
      </c>
      <c r="D550" s="3">
        <v>0</v>
      </c>
      <c r="E550" s="3" t="str">
        <f>"2170731543"</f>
        <v>2170731543</v>
      </c>
      <c r="F550" s="3" t="s">
        <v>17</v>
      </c>
      <c r="G550" s="3" t="s">
        <v>18</v>
      </c>
      <c r="H550" s="3" t="s">
        <v>18</v>
      </c>
      <c r="I550" s="3" t="s">
        <v>171</v>
      </c>
      <c r="J550" s="3" t="s">
        <v>642</v>
      </c>
      <c r="K550" s="3" t="s">
        <v>410</v>
      </c>
      <c r="L550" s="4">
        <v>0.28055555555555556</v>
      </c>
      <c r="M550" s="3" t="s">
        <v>643</v>
      </c>
      <c r="N550" s="3" t="s">
        <v>24</v>
      </c>
      <c r="O550" s="3" t="s">
        <v>25</v>
      </c>
    </row>
    <row r="551" spans="1:15">
      <c r="A551" s="3" t="s">
        <v>15</v>
      </c>
      <c r="B551" s="3" t="str">
        <f>"FES1162739888"</f>
        <v>FES1162739888</v>
      </c>
      <c r="C551" s="3" t="s">
        <v>77</v>
      </c>
      <c r="D551" s="3">
        <v>1</v>
      </c>
      <c r="E551" s="3" t="str">
        <f>"2170731514"</f>
        <v>2170731514</v>
      </c>
      <c r="F551" s="3" t="s">
        <v>17</v>
      </c>
      <c r="G551" s="3" t="s">
        <v>18</v>
      </c>
      <c r="H551" s="3" t="s">
        <v>36</v>
      </c>
      <c r="I551" s="3" t="s">
        <v>37</v>
      </c>
      <c r="J551" s="3" t="s">
        <v>674</v>
      </c>
      <c r="K551" s="3" t="s">
        <v>410</v>
      </c>
      <c r="L551" s="4">
        <v>0.41666666666666669</v>
      </c>
      <c r="M551" s="3" t="s">
        <v>675</v>
      </c>
      <c r="N551" s="3" t="s">
        <v>24</v>
      </c>
      <c r="O551" s="3" t="s">
        <v>25</v>
      </c>
    </row>
    <row r="552" spans="1:15">
      <c r="A552" s="3" t="s">
        <v>15</v>
      </c>
      <c r="B552" s="3" t="str">
        <f>"FES1162739857"</f>
        <v>FES1162739857</v>
      </c>
      <c r="C552" s="3" t="s">
        <v>77</v>
      </c>
      <c r="D552" s="3">
        <v>1</v>
      </c>
      <c r="E552" s="3" t="str">
        <f>"21707231651"</f>
        <v>21707231651</v>
      </c>
      <c r="F552" s="3" t="s">
        <v>17</v>
      </c>
      <c r="G552" s="3" t="s">
        <v>18</v>
      </c>
      <c r="H552" s="3" t="s">
        <v>36</v>
      </c>
      <c r="I552" s="3" t="s">
        <v>37</v>
      </c>
      <c r="J552" s="3" t="s">
        <v>187</v>
      </c>
      <c r="K552" s="3" t="s">
        <v>410</v>
      </c>
      <c r="L552" s="4">
        <v>0.36805555555555558</v>
      </c>
      <c r="M552" s="3" t="s">
        <v>188</v>
      </c>
      <c r="N552" s="3" t="s">
        <v>24</v>
      </c>
      <c r="O552" s="3" t="s">
        <v>25</v>
      </c>
    </row>
    <row r="553" spans="1:15">
      <c r="A553" s="3" t="s">
        <v>15</v>
      </c>
      <c r="B553" s="3" t="str">
        <f>"FES1162739858"</f>
        <v>FES1162739858</v>
      </c>
      <c r="C553" s="3" t="s">
        <v>77</v>
      </c>
      <c r="D553" s="3">
        <v>1</v>
      </c>
      <c r="E553" s="3" t="str">
        <f>"2170730048"</f>
        <v>2170730048</v>
      </c>
      <c r="F553" s="3" t="s">
        <v>17</v>
      </c>
      <c r="G553" s="3" t="s">
        <v>18</v>
      </c>
      <c r="H553" s="3" t="s">
        <v>36</v>
      </c>
      <c r="I553" s="3" t="s">
        <v>37</v>
      </c>
      <c r="J553" s="3" t="s">
        <v>187</v>
      </c>
      <c r="K553" s="3" t="s">
        <v>410</v>
      </c>
      <c r="L553" s="4">
        <v>0.36805555555555558</v>
      </c>
      <c r="M553" s="3" t="s">
        <v>188</v>
      </c>
      <c r="N553" s="3" t="s">
        <v>24</v>
      </c>
      <c r="O553" s="3" t="s">
        <v>25</v>
      </c>
    </row>
    <row r="554" spans="1:15">
      <c r="A554" s="3" t="s">
        <v>15</v>
      </c>
      <c r="B554" s="3" t="str">
        <f>"FES1162739918"</f>
        <v>FES1162739918</v>
      </c>
      <c r="C554" s="3" t="s">
        <v>77</v>
      </c>
      <c r="D554" s="3">
        <v>1</v>
      </c>
      <c r="E554" s="3" t="str">
        <f>"21707315446"</f>
        <v>21707315446</v>
      </c>
      <c r="F554" s="3" t="s">
        <v>17</v>
      </c>
      <c r="G554" s="3" t="s">
        <v>18</v>
      </c>
      <c r="H554" s="3" t="s">
        <v>18</v>
      </c>
      <c r="I554" s="3" t="s">
        <v>171</v>
      </c>
      <c r="J554" s="3" t="s">
        <v>369</v>
      </c>
      <c r="K554" s="3" t="s">
        <v>410</v>
      </c>
      <c r="L554" s="4">
        <v>0.33333333333333331</v>
      </c>
      <c r="M554" s="3" t="s">
        <v>676</v>
      </c>
      <c r="N554" s="3" t="s">
        <v>24</v>
      </c>
      <c r="O554" s="3" t="s">
        <v>25</v>
      </c>
    </row>
    <row r="555" spans="1:15">
      <c r="A555" s="3" t="s">
        <v>15</v>
      </c>
      <c r="B555" s="3" t="str">
        <f>"FES1162739983"</f>
        <v>FES1162739983</v>
      </c>
      <c r="C555" s="3" t="s">
        <v>77</v>
      </c>
      <c r="D555" s="3">
        <v>0</v>
      </c>
      <c r="E555" s="3" t="str">
        <f>"2170731614"</f>
        <v>2170731614</v>
      </c>
      <c r="F555" s="3" t="s">
        <v>17</v>
      </c>
      <c r="G555" s="3" t="s">
        <v>18</v>
      </c>
      <c r="H555" s="3" t="s">
        <v>36</v>
      </c>
      <c r="I555" s="3" t="s">
        <v>174</v>
      </c>
      <c r="J555" s="3" t="s">
        <v>175</v>
      </c>
      <c r="K555" s="3" t="s">
        <v>410</v>
      </c>
      <c r="L555" s="4">
        <v>0.5</v>
      </c>
      <c r="M555" s="3" t="s">
        <v>176</v>
      </c>
      <c r="N555" s="3" t="s">
        <v>24</v>
      </c>
      <c r="O555" s="3" t="s">
        <v>25</v>
      </c>
    </row>
    <row r="556" spans="1:15">
      <c r="A556" s="5" t="s">
        <v>15</v>
      </c>
      <c r="B556" s="5" t="str">
        <f>"FES1162739978"</f>
        <v>FES1162739978</v>
      </c>
      <c r="C556" s="5" t="s">
        <v>77</v>
      </c>
      <c r="D556" s="5">
        <v>0</v>
      </c>
      <c r="E556" s="5" t="str">
        <f>"2170731608"</f>
        <v>2170731608</v>
      </c>
      <c r="F556" s="5" t="s">
        <v>17</v>
      </c>
      <c r="G556" s="5" t="s">
        <v>18</v>
      </c>
      <c r="H556" s="5" t="s">
        <v>46</v>
      </c>
      <c r="I556" s="5" t="s">
        <v>47</v>
      </c>
      <c r="J556" s="5" t="s">
        <v>677</v>
      </c>
      <c r="K556" s="5" t="s">
        <v>410</v>
      </c>
      <c r="L556" s="6">
        <v>0.43402777777777773</v>
      </c>
      <c r="M556" s="5" t="s">
        <v>678</v>
      </c>
      <c r="N556" s="5" t="s">
        <v>24</v>
      </c>
      <c r="O556" s="5" t="s">
        <v>25</v>
      </c>
    </row>
    <row r="557" spans="1:15">
      <c r="A557" s="5" t="s">
        <v>15</v>
      </c>
      <c r="B557" s="5" t="str">
        <f>"FES1162739969"</f>
        <v>FES1162739969</v>
      </c>
      <c r="C557" s="5" t="s">
        <v>77</v>
      </c>
      <c r="D557" s="5">
        <v>1</v>
      </c>
      <c r="E557" s="5" t="str">
        <f>"2170731596"</f>
        <v>2170731596</v>
      </c>
      <c r="F557" s="5" t="s">
        <v>17</v>
      </c>
      <c r="G557" s="5" t="s">
        <v>18</v>
      </c>
      <c r="H557" s="5" t="s">
        <v>18</v>
      </c>
      <c r="I557" s="5" t="s">
        <v>29</v>
      </c>
      <c r="J557" s="5" t="s">
        <v>679</v>
      </c>
      <c r="K557" s="5" t="s">
        <v>410</v>
      </c>
      <c r="L557" s="6">
        <v>0.3263888888888889</v>
      </c>
      <c r="M557" s="5" t="s">
        <v>680</v>
      </c>
      <c r="N557" s="5" t="s">
        <v>24</v>
      </c>
      <c r="O557" s="5" t="s">
        <v>25</v>
      </c>
    </row>
    <row r="558" spans="1:15">
      <c r="A558" s="5" t="s">
        <v>15</v>
      </c>
      <c r="B558" s="5" t="str">
        <f>"FES1162740003"</f>
        <v>FES1162740003</v>
      </c>
      <c r="C558" s="5" t="s">
        <v>77</v>
      </c>
      <c r="D558" s="5">
        <v>1</v>
      </c>
      <c r="E558" s="5" t="str">
        <f>"2170731649"</f>
        <v>2170731649</v>
      </c>
      <c r="F558" s="5" t="s">
        <v>17</v>
      </c>
      <c r="G558" s="5" t="s">
        <v>18</v>
      </c>
      <c r="H558" s="5" t="s">
        <v>18</v>
      </c>
      <c r="I558" s="5" t="s">
        <v>29</v>
      </c>
      <c r="J558" s="5" t="s">
        <v>487</v>
      </c>
      <c r="K558" s="5" t="s">
        <v>410</v>
      </c>
      <c r="L558" s="6">
        <v>0.38194444444444442</v>
      </c>
      <c r="M558" s="5" t="s">
        <v>681</v>
      </c>
      <c r="N558" s="5" t="s">
        <v>24</v>
      </c>
      <c r="O558" s="5" t="s">
        <v>25</v>
      </c>
    </row>
    <row r="559" spans="1:15">
      <c r="A559" s="5" t="s">
        <v>15</v>
      </c>
      <c r="B559" s="5" t="str">
        <f>"FES1162739934"</f>
        <v>FES1162739934</v>
      </c>
      <c r="C559" s="5" t="s">
        <v>77</v>
      </c>
      <c r="D559" s="5">
        <v>1</v>
      </c>
      <c r="E559" s="5" t="str">
        <f>"2170731574"</f>
        <v>2170731574</v>
      </c>
      <c r="F559" s="5" t="s">
        <v>17</v>
      </c>
      <c r="G559" s="5" t="s">
        <v>18</v>
      </c>
      <c r="H559" s="5" t="s">
        <v>36</v>
      </c>
      <c r="I559" s="5" t="s">
        <v>37</v>
      </c>
      <c r="J559" s="5" t="s">
        <v>682</v>
      </c>
      <c r="K559" s="5" t="s">
        <v>410</v>
      </c>
      <c r="L559" s="6">
        <v>0.41597222222222219</v>
      </c>
      <c r="M559" s="5" t="s">
        <v>683</v>
      </c>
      <c r="N559" s="5" t="s">
        <v>24</v>
      </c>
      <c r="O559" s="5" t="s">
        <v>25</v>
      </c>
    </row>
    <row r="560" spans="1:15">
      <c r="A560" s="5" t="s">
        <v>15</v>
      </c>
      <c r="B560" s="5" t="str">
        <f>"FES1162739971"</f>
        <v>FES1162739971</v>
      </c>
      <c r="C560" s="5" t="s">
        <v>77</v>
      </c>
      <c r="D560" s="5">
        <v>1</v>
      </c>
      <c r="E560" s="5" t="str">
        <f>"2170731599"</f>
        <v>2170731599</v>
      </c>
      <c r="F560" s="5" t="s">
        <v>214</v>
      </c>
      <c r="G560" s="5" t="s">
        <v>18</v>
      </c>
      <c r="H560" s="5" t="s">
        <v>100</v>
      </c>
      <c r="I560" s="5" t="s">
        <v>101</v>
      </c>
      <c r="J560" s="5" t="s">
        <v>265</v>
      </c>
      <c r="K560" s="5" t="s">
        <v>410</v>
      </c>
      <c r="L560" s="6">
        <v>0.41597222222222219</v>
      </c>
      <c r="M560" s="5" t="s">
        <v>684</v>
      </c>
      <c r="N560" s="5" t="s">
        <v>24</v>
      </c>
      <c r="O560" s="5" t="s">
        <v>317</v>
      </c>
    </row>
    <row r="561" spans="1:15">
      <c r="A561" s="5" t="s">
        <v>15</v>
      </c>
      <c r="B561" s="5" t="str">
        <f>"FES1162739960"</f>
        <v>FES1162739960</v>
      </c>
      <c r="C561" s="5" t="s">
        <v>77</v>
      </c>
      <c r="D561" s="5">
        <v>0</v>
      </c>
      <c r="E561" s="5" t="str">
        <f>"2170731584"</f>
        <v>2170731584</v>
      </c>
      <c r="F561" s="5" t="s">
        <v>17</v>
      </c>
      <c r="G561" s="5" t="s">
        <v>18</v>
      </c>
      <c r="H561" s="5" t="s">
        <v>18</v>
      </c>
      <c r="I561" s="5" t="s">
        <v>309</v>
      </c>
      <c r="J561" s="5" t="s">
        <v>685</v>
      </c>
      <c r="K561" s="5" t="s">
        <v>410</v>
      </c>
      <c r="L561" s="6">
        <v>0.30069444444444443</v>
      </c>
      <c r="M561" s="5" t="s">
        <v>686</v>
      </c>
      <c r="N561" s="5" t="s">
        <v>24</v>
      </c>
      <c r="O561" s="5" t="s">
        <v>25</v>
      </c>
    </row>
    <row r="562" spans="1:15">
      <c r="A562" s="5" t="s">
        <v>15</v>
      </c>
      <c r="B562" s="5" t="str">
        <f>"FES1162739980"</f>
        <v>FES1162739980</v>
      </c>
      <c r="C562" s="5" t="s">
        <v>77</v>
      </c>
      <c r="D562" s="5">
        <v>0</v>
      </c>
      <c r="E562" s="5" t="str">
        <f>"2170731611"</f>
        <v>2170731611</v>
      </c>
      <c r="F562" s="5" t="s">
        <v>17</v>
      </c>
      <c r="G562" s="5" t="s">
        <v>18</v>
      </c>
      <c r="H562" s="5" t="s">
        <v>100</v>
      </c>
      <c r="I562" s="5" t="s">
        <v>101</v>
      </c>
      <c r="J562" s="5" t="s">
        <v>131</v>
      </c>
      <c r="K562" s="5" t="s">
        <v>410</v>
      </c>
      <c r="L562" s="6">
        <v>0.37638888888888888</v>
      </c>
      <c r="M562" s="5" t="s">
        <v>687</v>
      </c>
      <c r="N562" s="5" t="s">
        <v>24</v>
      </c>
      <c r="O562" s="5" t="s">
        <v>25</v>
      </c>
    </row>
    <row r="563" spans="1:15">
      <c r="A563" s="5" t="s">
        <v>15</v>
      </c>
      <c r="B563" s="5" t="str">
        <f>"FES1162740018"</f>
        <v>FES1162740018</v>
      </c>
      <c r="C563" s="5" t="s">
        <v>77</v>
      </c>
      <c r="D563" s="5">
        <v>1</v>
      </c>
      <c r="E563" s="5" t="str">
        <f>"2170731666"</f>
        <v>2170731666</v>
      </c>
      <c r="F563" s="5" t="s">
        <v>17</v>
      </c>
      <c r="G563" s="5" t="s">
        <v>18</v>
      </c>
      <c r="H563" s="5" t="s">
        <v>46</v>
      </c>
      <c r="I563" s="5" t="s">
        <v>47</v>
      </c>
      <c r="J563" s="5" t="s">
        <v>48</v>
      </c>
      <c r="K563" s="5" t="s">
        <v>410</v>
      </c>
      <c r="L563" s="6">
        <v>0.40486111111111112</v>
      </c>
      <c r="M563" s="5" t="s">
        <v>652</v>
      </c>
      <c r="N563" s="5" t="s">
        <v>24</v>
      </c>
      <c r="O563" s="5" t="s">
        <v>25</v>
      </c>
    </row>
    <row r="564" spans="1:15">
      <c r="A564" s="5" t="s">
        <v>15</v>
      </c>
      <c r="B564" s="5" t="str">
        <f>"FES1162740033"</f>
        <v>FES1162740033</v>
      </c>
      <c r="C564" s="5" t="s">
        <v>77</v>
      </c>
      <c r="D564" s="5">
        <v>0</v>
      </c>
      <c r="E564" s="5" t="str">
        <f>"2170731679"</f>
        <v>2170731679</v>
      </c>
      <c r="F564" s="5" t="s">
        <v>17</v>
      </c>
      <c r="G564" s="5" t="s">
        <v>18</v>
      </c>
      <c r="H564" s="5" t="s">
        <v>36</v>
      </c>
      <c r="I564" s="5" t="s">
        <v>174</v>
      </c>
      <c r="J564" s="5" t="s">
        <v>688</v>
      </c>
      <c r="K564" s="5" t="s">
        <v>410</v>
      </c>
      <c r="L564" s="6">
        <v>0.34027777777777773</v>
      </c>
      <c r="M564" s="5" t="s">
        <v>689</v>
      </c>
      <c r="N564" s="5" t="s">
        <v>24</v>
      </c>
      <c r="O564" s="5" t="s">
        <v>25</v>
      </c>
    </row>
    <row r="565" spans="1:15">
      <c r="A565" s="5" t="s">
        <v>15</v>
      </c>
      <c r="B565" s="5" t="str">
        <f>"FES1162740045"</f>
        <v>FES1162740045</v>
      </c>
      <c r="C565" s="5" t="s">
        <v>77</v>
      </c>
      <c r="D565" s="5">
        <v>0</v>
      </c>
      <c r="E565" s="5" t="str">
        <f>"2170731694"</f>
        <v>2170731694</v>
      </c>
      <c r="F565" s="5" t="s">
        <v>17</v>
      </c>
      <c r="G565" s="5" t="s">
        <v>18</v>
      </c>
      <c r="H565" s="5" t="s">
        <v>46</v>
      </c>
      <c r="I565" s="5" t="s">
        <v>47</v>
      </c>
      <c r="J565" s="5" t="s">
        <v>351</v>
      </c>
      <c r="K565" s="5" t="s">
        <v>410</v>
      </c>
      <c r="L565" s="6">
        <v>0.39027777777777778</v>
      </c>
      <c r="M565" s="5" t="s">
        <v>690</v>
      </c>
      <c r="N565" s="5" t="s">
        <v>24</v>
      </c>
      <c r="O565" s="5" t="s">
        <v>25</v>
      </c>
    </row>
    <row r="566" spans="1:15">
      <c r="A566" s="5" t="s">
        <v>15</v>
      </c>
      <c r="B566" s="5" t="str">
        <f>"FES1162740027"</f>
        <v>FES1162740027</v>
      </c>
      <c r="C566" s="5" t="s">
        <v>77</v>
      </c>
      <c r="D566" s="5">
        <v>0</v>
      </c>
      <c r="E566" s="5" t="str">
        <f>"2170731673"</f>
        <v>2170731673</v>
      </c>
      <c r="F566" s="5" t="s">
        <v>17</v>
      </c>
      <c r="G566" s="5" t="s">
        <v>18</v>
      </c>
      <c r="H566" s="5" t="s">
        <v>36</v>
      </c>
      <c r="I566" s="5" t="s">
        <v>37</v>
      </c>
      <c r="J566" s="5" t="s">
        <v>260</v>
      </c>
      <c r="K566" s="5" t="s">
        <v>410</v>
      </c>
      <c r="L566" s="6">
        <v>0.4145833333333333</v>
      </c>
      <c r="M566" s="5" t="s">
        <v>691</v>
      </c>
      <c r="N566" s="5" t="s">
        <v>24</v>
      </c>
      <c r="O566" s="5" t="s">
        <v>25</v>
      </c>
    </row>
    <row r="567" spans="1:15">
      <c r="A567" s="5" t="s">
        <v>15</v>
      </c>
      <c r="B567" s="5" t="str">
        <f>"FES1162740011"</f>
        <v>FES1162740011</v>
      </c>
      <c r="C567" s="5" t="s">
        <v>77</v>
      </c>
      <c r="D567" s="5">
        <v>0</v>
      </c>
      <c r="E567" s="5" t="str">
        <f>"2170731656"</f>
        <v>2170731656</v>
      </c>
      <c r="F567" s="5" t="s">
        <v>17</v>
      </c>
      <c r="G567" s="5" t="s">
        <v>18</v>
      </c>
      <c r="H567" s="5" t="s">
        <v>18</v>
      </c>
      <c r="I567" s="5" t="s">
        <v>151</v>
      </c>
      <c r="J567" s="5" t="s">
        <v>692</v>
      </c>
      <c r="K567" s="5" t="s">
        <v>410</v>
      </c>
      <c r="L567" s="6">
        <v>0.33333333333333331</v>
      </c>
      <c r="M567" s="5" t="s">
        <v>693</v>
      </c>
      <c r="N567" s="5" t="s">
        <v>24</v>
      </c>
      <c r="O567" s="5" t="s">
        <v>25</v>
      </c>
    </row>
    <row r="568" spans="1:15">
      <c r="A568" s="5" t="s">
        <v>15</v>
      </c>
      <c r="B568" s="5" t="str">
        <f>"FES1162740039"</f>
        <v>FES1162740039</v>
      </c>
      <c r="C568" s="5" t="s">
        <v>77</v>
      </c>
      <c r="D568" s="5">
        <v>0</v>
      </c>
      <c r="E568" s="5" t="str">
        <f>"2170729401"</f>
        <v>2170729401</v>
      </c>
      <c r="F568" s="5" t="s">
        <v>17</v>
      </c>
      <c r="G568" s="5" t="s">
        <v>18</v>
      </c>
      <c r="H568" s="5" t="s">
        <v>18</v>
      </c>
      <c r="I568" s="5" t="s">
        <v>171</v>
      </c>
      <c r="J568" s="5" t="s">
        <v>197</v>
      </c>
      <c r="K568" s="5" t="s">
        <v>410</v>
      </c>
      <c r="L568" s="6">
        <v>0.33333333333333331</v>
      </c>
      <c r="M568" s="5" t="s">
        <v>416</v>
      </c>
      <c r="N568" s="5" t="s">
        <v>24</v>
      </c>
      <c r="O568" s="5" t="s">
        <v>25</v>
      </c>
    </row>
    <row r="569" spans="1:15">
      <c r="A569" s="5" t="s">
        <v>15</v>
      </c>
      <c r="B569" s="5" t="str">
        <f>"FES1162740012"</f>
        <v>FES1162740012</v>
      </c>
      <c r="C569" s="5" t="s">
        <v>77</v>
      </c>
      <c r="D569" s="5">
        <v>0</v>
      </c>
      <c r="E569" s="5" t="str">
        <f>"2170731657"</f>
        <v>2170731657</v>
      </c>
      <c r="F569" s="5" t="s">
        <v>17</v>
      </c>
      <c r="G569" s="5" t="s">
        <v>18</v>
      </c>
      <c r="H569" s="5" t="s">
        <v>18</v>
      </c>
      <c r="I569" s="5" t="s">
        <v>180</v>
      </c>
      <c r="J569" s="5" t="s">
        <v>181</v>
      </c>
      <c r="K569" s="5" t="s">
        <v>410</v>
      </c>
      <c r="L569" s="6">
        <v>0.33333333333333331</v>
      </c>
      <c r="M569" s="5" t="s">
        <v>182</v>
      </c>
      <c r="N569" s="5" t="s">
        <v>24</v>
      </c>
      <c r="O569" s="5" t="s">
        <v>25</v>
      </c>
    </row>
    <row r="570" spans="1:15">
      <c r="A570" s="5" t="s">
        <v>15</v>
      </c>
      <c r="B570" s="5" t="str">
        <f>"FES1162739998"</f>
        <v>FES1162739998</v>
      </c>
      <c r="C570" s="5" t="s">
        <v>77</v>
      </c>
      <c r="D570" s="5">
        <v>0</v>
      </c>
      <c r="E570" s="5" t="str">
        <f>"2170731635"</f>
        <v>2170731635</v>
      </c>
      <c r="F570" s="5" t="s">
        <v>17</v>
      </c>
      <c r="G570" s="5" t="s">
        <v>18</v>
      </c>
      <c r="H570" s="5" t="s">
        <v>18</v>
      </c>
      <c r="I570" s="5" t="s">
        <v>313</v>
      </c>
      <c r="J570" s="5" t="s">
        <v>694</v>
      </c>
      <c r="K570" s="5" t="s">
        <v>410</v>
      </c>
      <c r="L570" s="6">
        <v>0.42708333333333331</v>
      </c>
      <c r="M570" s="5" t="s">
        <v>695</v>
      </c>
      <c r="N570" s="5" t="s">
        <v>24</v>
      </c>
      <c r="O570" s="5" t="s">
        <v>25</v>
      </c>
    </row>
    <row r="571" spans="1:15">
      <c r="A571" s="5" t="s">
        <v>15</v>
      </c>
      <c r="B571" s="5" t="str">
        <f>"FES1162739915"</f>
        <v>FES1162739915</v>
      </c>
      <c r="C571" s="5" t="s">
        <v>77</v>
      </c>
      <c r="D571" s="5">
        <v>1</v>
      </c>
      <c r="E571" s="5" t="str">
        <f>"2170731350"</f>
        <v>2170731350</v>
      </c>
      <c r="F571" s="5" t="s">
        <v>17</v>
      </c>
      <c r="G571" s="5" t="s">
        <v>18</v>
      </c>
      <c r="H571" s="5" t="s">
        <v>696</v>
      </c>
      <c r="I571" s="5" t="s">
        <v>697</v>
      </c>
      <c r="J571" s="5" t="s">
        <v>698</v>
      </c>
      <c r="K571" s="5" t="s">
        <v>410</v>
      </c>
      <c r="L571" s="6">
        <v>0.42708333333333331</v>
      </c>
      <c r="M571" s="5" t="s">
        <v>699</v>
      </c>
      <c r="N571" s="5" t="s">
        <v>24</v>
      </c>
      <c r="O571" s="5" t="s">
        <v>25</v>
      </c>
    </row>
    <row r="572" spans="1:15">
      <c r="A572" s="5" t="s">
        <v>15</v>
      </c>
      <c r="B572" s="5" t="str">
        <f>"FES1162739927"</f>
        <v>FES1162739927</v>
      </c>
      <c r="C572" s="5" t="s">
        <v>77</v>
      </c>
      <c r="D572" s="5">
        <v>1</v>
      </c>
      <c r="E572" s="5" t="str">
        <f>"2170731561"</f>
        <v>2170731561</v>
      </c>
      <c r="F572" s="5" t="s">
        <v>17</v>
      </c>
      <c r="G572" s="5" t="s">
        <v>18</v>
      </c>
      <c r="H572" s="5" t="s">
        <v>18</v>
      </c>
      <c r="I572" s="5" t="s">
        <v>309</v>
      </c>
      <c r="J572" s="5" t="s">
        <v>278</v>
      </c>
      <c r="K572" s="5" t="s">
        <v>410</v>
      </c>
      <c r="L572" s="6">
        <v>0.37013888888888885</v>
      </c>
      <c r="M572" s="5" t="s">
        <v>324</v>
      </c>
      <c r="N572" s="5" t="s">
        <v>24</v>
      </c>
      <c r="O572" s="5" t="s">
        <v>25</v>
      </c>
    </row>
    <row r="573" spans="1:15">
      <c r="A573" s="5" t="s">
        <v>15</v>
      </c>
      <c r="B573" s="5" t="str">
        <f>"FES1162739626"</f>
        <v>FES1162739626</v>
      </c>
      <c r="C573" s="5" t="s">
        <v>77</v>
      </c>
      <c r="D573" s="5">
        <v>2</v>
      </c>
      <c r="E573" s="5" t="str">
        <f>"21707393200"</f>
        <v>21707393200</v>
      </c>
      <c r="F573" s="5" t="s">
        <v>17</v>
      </c>
      <c r="G573" s="5" t="s">
        <v>18</v>
      </c>
      <c r="H573" s="5" t="s">
        <v>36</v>
      </c>
      <c r="I573" s="5" t="s">
        <v>37</v>
      </c>
      <c r="J573" s="5" t="s">
        <v>700</v>
      </c>
      <c r="K573" s="5" t="s">
        <v>410</v>
      </c>
      <c r="L573" s="6">
        <v>0.38680555555555557</v>
      </c>
      <c r="M573" s="5" t="s">
        <v>439</v>
      </c>
      <c r="N573" s="5" t="s">
        <v>24</v>
      </c>
      <c r="O573" s="5" t="s">
        <v>25</v>
      </c>
    </row>
    <row r="574" spans="1:15">
      <c r="A574" s="5" t="s">
        <v>15</v>
      </c>
      <c r="B574" s="5" t="str">
        <f>"FES1162740051"</f>
        <v>FES1162740051</v>
      </c>
      <c r="C574" s="5" t="s">
        <v>77</v>
      </c>
      <c r="D574" s="5">
        <v>0</v>
      </c>
      <c r="E574" s="5" t="str">
        <f>"2170731701"</f>
        <v>2170731701</v>
      </c>
      <c r="F574" s="5" t="s">
        <v>17</v>
      </c>
      <c r="G574" s="5" t="s">
        <v>18</v>
      </c>
      <c r="H574" s="5" t="s">
        <v>36</v>
      </c>
      <c r="I574" s="5" t="s">
        <v>174</v>
      </c>
      <c r="J574" s="5" t="s">
        <v>688</v>
      </c>
      <c r="K574" s="5" t="s">
        <v>410</v>
      </c>
      <c r="L574" s="6">
        <v>0.34027777777777773</v>
      </c>
      <c r="M574" s="5" t="s">
        <v>689</v>
      </c>
      <c r="N574" s="5" t="s">
        <v>24</v>
      </c>
      <c r="O574" s="5" t="s">
        <v>25</v>
      </c>
    </row>
    <row r="575" spans="1:15">
      <c r="A575" s="5" t="s">
        <v>15</v>
      </c>
      <c r="B575" s="5" t="str">
        <f>"FES1162740073"</f>
        <v>FES1162740073</v>
      </c>
      <c r="C575" s="5" t="s">
        <v>77</v>
      </c>
      <c r="D575" s="5">
        <v>0</v>
      </c>
      <c r="E575" s="5" t="str">
        <f>"2170731723"</f>
        <v>2170731723</v>
      </c>
      <c r="F575" s="5" t="s">
        <v>17</v>
      </c>
      <c r="G575" s="5" t="s">
        <v>18</v>
      </c>
      <c r="H575" s="5" t="s">
        <v>36</v>
      </c>
      <c r="I575" s="5" t="s">
        <v>37</v>
      </c>
      <c r="J575" s="5" t="s">
        <v>585</v>
      </c>
      <c r="K575" s="5" t="s">
        <v>410</v>
      </c>
      <c r="L575" s="6">
        <v>0.41805555555555557</v>
      </c>
      <c r="M575" s="5" t="s">
        <v>701</v>
      </c>
      <c r="N575" s="5" t="s">
        <v>24</v>
      </c>
      <c r="O575" s="5" t="s">
        <v>25</v>
      </c>
    </row>
    <row r="576" spans="1:15">
      <c r="A576" s="3" t="s">
        <v>15</v>
      </c>
      <c r="B576" s="3" t="str">
        <f>"FES1162739952"</f>
        <v>FES1162739952</v>
      </c>
      <c r="C576" s="3" t="s">
        <v>77</v>
      </c>
      <c r="D576" s="3">
        <v>0</v>
      </c>
      <c r="E576" s="3" t="str">
        <f>"2170731392"</f>
        <v>2170731392</v>
      </c>
      <c r="F576" s="3" t="s">
        <v>17</v>
      </c>
      <c r="G576" s="3" t="s">
        <v>18</v>
      </c>
      <c r="H576" s="3" t="s">
        <v>19</v>
      </c>
      <c r="I576" s="3" t="s">
        <v>51</v>
      </c>
      <c r="J576" s="3" t="s">
        <v>209</v>
      </c>
      <c r="K576" s="3" t="s">
        <v>410</v>
      </c>
      <c r="L576" s="4">
        <v>0.3576388888888889</v>
      </c>
      <c r="M576" s="3" t="s">
        <v>235</v>
      </c>
      <c r="N576" s="3" t="s">
        <v>24</v>
      </c>
      <c r="O576" s="3" t="s">
        <v>25</v>
      </c>
    </row>
    <row r="577" spans="1:15">
      <c r="A577" s="3" t="s">
        <v>15</v>
      </c>
      <c r="B577" s="3" t="str">
        <f>"FES1162739942"</f>
        <v>FES1162739942</v>
      </c>
      <c r="C577" s="3" t="s">
        <v>77</v>
      </c>
      <c r="D577" s="3">
        <v>0</v>
      </c>
      <c r="E577" s="3" t="str">
        <f>"2170730304"</f>
        <v>2170730304</v>
      </c>
      <c r="F577" s="3" t="s">
        <v>17</v>
      </c>
      <c r="G577" s="3" t="s">
        <v>18</v>
      </c>
      <c r="H577" s="3" t="s">
        <v>70</v>
      </c>
      <c r="I577" s="3" t="s">
        <v>71</v>
      </c>
      <c r="J577" s="3" t="s">
        <v>392</v>
      </c>
      <c r="K577" s="3" t="s">
        <v>410</v>
      </c>
      <c r="L577" s="4">
        <v>0.56944444444444442</v>
      </c>
      <c r="M577" s="3" t="s">
        <v>393</v>
      </c>
      <c r="N577" s="3" t="s">
        <v>24</v>
      </c>
      <c r="O577" s="3" t="s">
        <v>25</v>
      </c>
    </row>
    <row r="578" spans="1:15">
      <c r="A578" s="3" t="s">
        <v>15</v>
      </c>
      <c r="B578" s="3" t="str">
        <f>"FES1162739933"</f>
        <v>FES1162739933</v>
      </c>
      <c r="C578" s="3" t="s">
        <v>77</v>
      </c>
      <c r="D578" s="3">
        <v>0</v>
      </c>
      <c r="E578" s="3" t="str">
        <f>"2170731569"</f>
        <v>2170731569</v>
      </c>
      <c r="F578" s="3" t="s">
        <v>17</v>
      </c>
      <c r="G578" s="3" t="s">
        <v>18</v>
      </c>
      <c r="H578" s="3" t="s">
        <v>70</v>
      </c>
      <c r="I578" s="3" t="s">
        <v>71</v>
      </c>
      <c r="J578" s="3" t="s">
        <v>392</v>
      </c>
      <c r="K578" s="3" t="s">
        <v>410</v>
      </c>
      <c r="L578" s="4">
        <v>0.56944444444444442</v>
      </c>
      <c r="M578" s="3" t="s">
        <v>702</v>
      </c>
      <c r="N578" s="3" t="s">
        <v>24</v>
      </c>
      <c r="O578" s="3" t="s">
        <v>25</v>
      </c>
    </row>
    <row r="579" spans="1:15">
      <c r="A579" s="3" t="s">
        <v>15</v>
      </c>
      <c r="B579" s="3" t="str">
        <f>"FES1162739928"</f>
        <v>FES1162739928</v>
      </c>
      <c r="C579" s="3" t="s">
        <v>77</v>
      </c>
      <c r="D579" s="3">
        <v>1</v>
      </c>
      <c r="E579" s="3" t="str">
        <f>"2170731563"</f>
        <v>2170731563</v>
      </c>
      <c r="F579" s="3" t="s">
        <v>17</v>
      </c>
      <c r="G579" s="3" t="s">
        <v>18</v>
      </c>
      <c r="H579" s="3" t="s">
        <v>19</v>
      </c>
      <c r="I579" s="3" t="s">
        <v>703</v>
      </c>
      <c r="J579" s="3" t="s">
        <v>704</v>
      </c>
      <c r="K579" s="3" t="s">
        <v>410</v>
      </c>
      <c r="L579" s="4">
        <v>0.64513888888888882</v>
      </c>
      <c r="M579" s="3" t="s">
        <v>705</v>
      </c>
      <c r="N579" s="3" t="s">
        <v>24</v>
      </c>
      <c r="O579" s="3" t="s">
        <v>25</v>
      </c>
    </row>
    <row r="580" spans="1:15">
      <c r="A580" s="3" t="s">
        <v>15</v>
      </c>
      <c r="B580" s="3" t="str">
        <f>"FES1162740007"</f>
        <v>FES1162740007</v>
      </c>
      <c r="C580" s="3" t="s">
        <v>77</v>
      </c>
      <c r="D580" s="3">
        <v>1</v>
      </c>
      <c r="E580" s="3" t="str">
        <f>"2170731651"</f>
        <v>2170731651</v>
      </c>
      <c r="F580" s="3" t="s">
        <v>17</v>
      </c>
      <c r="G580" s="3" t="s">
        <v>18</v>
      </c>
      <c r="H580" s="3" t="s">
        <v>19</v>
      </c>
      <c r="I580" s="3" t="s">
        <v>51</v>
      </c>
      <c r="J580" s="3" t="s">
        <v>209</v>
      </c>
      <c r="K580" s="3" t="s">
        <v>410</v>
      </c>
      <c r="L580" s="4">
        <v>0.3576388888888889</v>
      </c>
      <c r="M580" s="3" t="s">
        <v>235</v>
      </c>
      <c r="N580" s="3" t="s">
        <v>24</v>
      </c>
      <c r="O580" s="3" t="s">
        <v>25</v>
      </c>
    </row>
    <row r="581" spans="1:15">
      <c r="A581" s="3" t="s">
        <v>15</v>
      </c>
      <c r="B581" s="3" t="str">
        <f>"FES1162740001"</f>
        <v>FES1162740001</v>
      </c>
      <c r="C581" s="3" t="s">
        <v>77</v>
      </c>
      <c r="D581" s="3">
        <v>1</v>
      </c>
      <c r="E581" s="3" t="str">
        <f>"2170731646"</f>
        <v>2170731646</v>
      </c>
      <c r="F581" s="3" t="s">
        <v>17</v>
      </c>
      <c r="G581" s="3" t="s">
        <v>18</v>
      </c>
      <c r="H581" s="3" t="s">
        <v>19</v>
      </c>
      <c r="I581" s="3" t="s">
        <v>51</v>
      </c>
      <c r="J581" s="3" t="s">
        <v>706</v>
      </c>
      <c r="K581" s="3" t="s">
        <v>410</v>
      </c>
      <c r="L581" s="4">
        <v>0.36249999999999999</v>
      </c>
      <c r="M581" s="3" t="s">
        <v>235</v>
      </c>
      <c r="N581" s="3" t="s">
        <v>24</v>
      </c>
      <c r="O581" s="3" t="s">
        <v>25</v>
      </c>
    </row>
    <row r="582" spans="1:15">
      <c r="A582" s="3" t="s">
        <v>15</v>
      </c>
      <c r="B582" s="3" t="str">
        <f>"FES1162739938"</f>
        <v>FES1162739938</v>
      </c>
      <c r="C582" s="3" t="s">
        <v>77</v>
      </c>
      <c r="D582" s="3">
        <v>1</v>
      </c>
      <c r="E582" s="3" t="str">
        <f>"2170731108"</f>
        <v>2170731108</v>
      </c>
      <c r="F582" s="3" t="s">
        <v>17</v>
      </c>
      <c r="G582" s="3" t="s">
        <v>18</v>
      </c>
      <c r="H582" s="3" t="s">
        <v>70</v>
      </c>
      <c r="I582" s="3" t="s">
        <v>507</v>
      </c>
      <c r="J582" s="3" t="s">
        <v>707</v>
      </c>
      <c r="K582" s="3" t="s">
        <v>410</v>
      </c>
      <c r="L582" s="4">
        <v>0.52638888888888891</v>
      </c>
      <c r="M582" s="3" t="s">
        <v>509</v>
      </c>
      <c r="N582" s="3" t="s">
        <v>24</v>
      </c>
      <c r="O582" s="3" t="s">
        <v>25</v>
      </c>
    </row>
    <row r="583" spans="1:15">
      <c r="A583" s="3" t="s">
        <v>15</v>
      </c>
      <c r="B583" s="3" t="str">
        <f>"FES1162740010"</f>
        <v>FES1162740010</v>
      </c>
      <c r="C583" s="3" t="s">
        <v>77</v>
      </c>
      <c r="D583" s="3">
        <v>1</v>
      </c>
      <c r="E583" s="3" t="str">
        <f>"2170731654"</f>
        <v>2170731654</v>
      </c>
      <c r="F583" s="3" t="s">
        <v>17</v>
      </c>
      <c r="G583" s="3" t="s">
        <v>18</v>
      </c>
      <c r="H583" s="3" t="s">
        <v>70</v>
      </c>
      <c r="I583" s="3" t="s">
        <v>708</v>
      </c>
      <c r="J583" s="3" t="s">
        <v>709</v>
      </c>
      <c r="K583" s="3" t="s">
        <v>410</v>
      </c>
      <c r="L583" s="4">
        <v>0.69166666666666676</v>
      </c>
      <c r="M583" s="3" t="s">
        <v>710</v>
      </c>
      <c r="N583" s="3" t="s">
        <v>24</v>
      </c>
      <c r="O583" s="3" t="s">
        <v>25</v>
      </c>
    </row>
    <row r="584" spans="1:15">
      <c r="A584" s="3" t="s">
        <v>15</v>
      </c>
      <c r="B584" s="3" t="str">
        <f>"FES1162740026"</f>
        <v>FES1162740026</v>
      </c>
      <c r="C584" s="3" t="s">
        <v>77</v>
      </c>
      <c r="D584" s="3">
        <v>0</v>
      </c>
      <c r="E584" s="3" t="str">
        <f>"2170731672"</f>
        <v>2170731672</v>
      </c>
      <c r="F584" s="3" t="s">
        <v>17</v>
      </c>
      <c r="G584" s="3" t="s">
        <v>18</v>
      </c>
      <c r="H584" s="3" t="s">
        <v>18</v>
      </c>
      <c r="I584" s="3" t="s">
        <v>206</v>
      </c>
      <c r="J584" s="3" t="s">
        <v>207</v>
      </c>
      <c r="K584" s="3" t="s">
        <v>410</v>
      </c>
      <c r="L584" s="4">
        <v>0.4375</v>
      </c>
      <c r="M584" s="3" t="s">
        <v>711</v>
      </c>
      <c r="N584" s="3" t="s">
        <v>24</v>
      </c>
      <c r="O584" s="3" t="s">
        <v>25</v>
      </c>
    </row>
    <row r="585" spans="1:15">
      <c r="A585" s="3" t="s">
        <v>15</v>
      </c>
      <c r="B585" s="3" t="str">
        <f>"FES1162740082"</f>
        <v>FES1162740082</v>
      </c>
      <c r="C585" s="3" t="s">
        <v>77</v>
      </c>
      <c r="D585" s="3">
        <v>1</v>
      </c>
      <c r="E585" s="3" t="str">
        <f>"2170731550"</f>
        <v>2170731550</v>
      </c>
      <c r="F585" s="3" t="s">
        <v>17</v>
      </c>
      <c r="G585" s="3" t="s">
        <v>18</v>
      </c>
      <c r="H585" s="3" t="s">
        <v>36</v>
      </c>
      <c r="I585" s="3" t="s">
        <v>174</v>
      </c>
      <c r="J585" s="3" t="s">
        <v>712</v>
      </c>
      <c r="K585" s="3" t="s">
        <v>410</v>
      </c>
      <c r="L585" s="4">
        <v>0.33333333333333331</v>
      </c>
      <c r="M585" s="3" t="s">
        <v>713</v>
      </c>
      <c r="N585" s="3" t="s">
        <v>24</v>
      </c>
      <c r="O585" s="3" t="s">
        <v>25</v>
      </c>
    </row>
    <row r="586" spans="1:15">
      <c r="A586" s="5" t="s">
        <v>15</v>
      </c>
      <c r="B586" s="5" t="str">
        <f>"FES1162740075"</f>
        <v>FES1162740075</v>
      </c>
      <c r="C586" s="5" t="s">
        <v>77</v>
      </c>
      <c r="D586" s="5">
        <v>0</v>
      </c>
      <c r="E586" s="5" t="str">
        <f>"2170731728"</f>
        <v>2170731728</v>
      </c>
      <c r="F586" s="5" t="s">
        <v>17</v>
      </c>
      <c r="G586" s="5" t="s">
        <v>18</v>
      </c>
      <c r="H586" s="5" t="s">
        <v>18</v>
      </c>
      <c r="I586" s="5" t="s">
        <v>29</v>
      </c>
      <c r="J586" s="5" t="s">
        <v>714</v>
      </c>
      <c r="K586" s="5" t="s">
        <v>410</v>
      </c>
      <c r="L586" s="6">
        <v>0.33194444444444443</v>
      </c>
      <c r="M586" s="5" t="s">
        <v>715</v>
      </c>
      <c r="N586" s="5" t="s">
        <v>24</v>
      </c>
      <c r="O586" s="5" t="s">
        <v>25</v>
      </c>
    </row>
    <row r="587" spans="1:15">
      <c r="A587" s="5" t="s">
        <v>15</v>
      </c>
      <c r="B587" s="5" t="str">
        <f>"FES1162740022"</f>
        <v>FES1162740022</v>
      </c>
      <c r="C587" s="5" t="s">
        <v>77</v>
      </c>
      <c r="D587" s="5">
        <v>0</v>
      </c>
      <c r="E587" s="5" t="str">
        <f>"2170731670"</f>
        <v>2170731670</v>
      </c>
      <c r="F587" s="5" t="s">
        <v>17</v>
      </c>
      <c r="G587" s="5" t="s">
        <v>18</v>
      </c>
      <c r="H587" s="5" t="s">
        <v>18</v>
      </c>
      <c r="I587" s="5" t="s">
        <v>222</v>
      </c>
      <c r="J587" s="5" t="s">
        <v>716</v>
      </c>
      <c r="K587" s="5" t="s">
        <v>410</v>
      </c>
      <c r="L587" s="6">
        <v>0.4055555555555555</v>
      </c>
      <c r="M587" s="5" t="s">
        <v>717</v>
      </c>
      <c r="N587" s="5" t="s">
        <v>24</v>
      </c>
      <c r="O587" s="5" t="s">
        <v>25</v>
      </c>
    </row>
    <row r="588" spans="1:15">
      <c r="A588" s="5" t="s">
        <v>15</v>
      </c>
      <c r="B588" s="5" t="str">
        <f>"FES1162740040"</f>
        <v>FES1162740040</v>
      </c>
      <c r="C588" s="5" t="s">
        <v>77</v>
      </c>
      <c r="D588" s="5">
        <v>1</v>
      </c>
      <c r="E588" s="5" t="str">
        <f>"2170731868"</f>
        <v>2170731868</v>
      </c>
      <c r="F588" s="5" t="s">
        <v>17</v>
      </c>
      <c r="G588" s="5" t="s">
        <v>18</v>
      </c>
      <c r="H588" s="5" t="s">
        <v>366</v>
      </c>
      <c r="I588" s="5" t="s">
        <v>67</v>
      </c>
      <c r="J588" s="5" t="s">
        <v>718</v>
      </c>
      <c r="K588" s="5" t="s">
        <v>410</v>
      </c>
      <c r="L588" s="6">
        <v>0.59027777777777779</v>
      </c>
      <c r="M588" s="5" t="s">
        <v>719</v>
      </c>
      <c r="N588" s="5" t="s">
        <v>24</v>
      </c>
      <c r="O588" s="5" t="s">
        <v>25</v>
      </c>
    </row>
    <row r="589" spans="1:15">
      <c r="A589" s="5" t="s">
        <v>15</v>
      </c>
      <c r="B589" s="5" t="str">
        <f>"FES1162740041"</f>
        <v>FES1162740041</v>
      </c>
      <c r="C589" s="5" t="s">
        <v>77</v>
      </c>
      <c r="D589" s="5">
        <v>1</v>
      </c>
      <c r="E589" s="5" t="str">
        <f>"2170731687"</f>
        <v>2170731687</v>
      </c>
      <c r="F589" s="5" t="s">
        <v>17</v>
      </c>
      <c r="G589" s="5" t="s">
        <v>18</v>
      </c>
      <c r="H589" s="5" t="s">
        <v>18</v>
      </c>
      <c r="I589" s="5" t="s">
        <v>29</v>
      </c>
      <c r="J589" s="5" t="s">
        <v>720</v>
      </c>
      <c r="K589" s="5" t="s">
        <v>410</v>
      </c>
      <c r="L589" s="6">
        <v>0.32361111111111113</v>
      </c>
      <c r="M589" s="5" t="s">
        <v>336</v>
      </c>
      <c r="N589" s="5" t="s">
        <v>24</v>
      </c>
      <c r="O589" s="5" t="s">
        <v>25</v>
      </c>
    </row>
    <row r="590" spans="1:15">
      <c r="A590" s="5" t="s">
        <v>15</v>
      </c>
      <c r="B590" s="5" t="str">
        <f>"FES1162739984"</f>
        <v>FES1162739984</v>
      </c>
      <c r="C590" s="5" t="s">
        <v>77</v>
      </c>
      <c r="D590" s="5">
        <v>1</v>
      </c>
      <c r="E590" s="5" t="str">
        <f>"2170731615"</f>
        <v>2170731615</v>
      </c>
      <c r="F590" s="5" t="s">
        <v>17</v>
      </c>
      <c r="G590" s="5" t="s">
        <v>18</v>
      </c>
      <c r="H590" s="5" t="s">
        <v>18</v>
      </c>
      <c r="I590" s="5" t="s">
        <v>291</v>
      </c>
      <c r="J590" s="5" t="s">
        <v>721</v>
      </c>
      <c r="K590" s="5" t="s">
        <v>410</v>
      </c>
      <c r="L590" s="6">
        <v>0.4375</v>
      </c>
      <c r="M590" s="5" t="s">
        <v>722</v>
      </c>
      <c r="N590" s="5" t="s">
        <v>24</v>
      </c>
      <c r="O590" s="5" t="s">
        <v>25</v>
      </c>
    </row>
    <row r="591" spans="1:15">
      <c r="A591" s="5" t="s">
        <v>15</v>
      </c>
      <c r="B591" s="5" t="str">
        <f>"FES1162739988"</f>
        <v>FES1162739988</v>
      </c>
      <c r="C591" s="5" t="s">
        <v>77</v>
      </c>
      <c r="D591" s="5">
        <v>1</v>
      </c>
      <c r="E591" s="5" t="str">
        <f>"2170731619"</f>
        <v>2170731619</v>
      </c>
      <c r="F591" s="5" t="s">
        <v>17</v>
      </c>
      <c r="G591" s="5" t="s">
        <v>18</v>
      </c>
      <c r="H591" s="5" t="s">
        <v>537</v>
      </c>
      <c r="I591" s="5" t="s">
        <v>538</v>
      </c>
      <c r="J591" s="5" t="s">
        <v>539</v>
      </c>
      <c r="K591" s="5" t="s">
        <v>410</v>
      </c>
      <c r="L591" s="6">
        <v>0.39166666666666666</v>
      </c>
      <c r="M591" s="5" t="s">
        <v>723</v>
      </c>
      <c r="N591" s="5" t="s">
        <v>24</v>
      </c>
      <c r="O591" s="5" t="s">
        <v>25</v>
      </c>
    </row>
    <row r="592" spans="1:15">
      <c r="A592" s="5" t="s">
        <v>15</v>
      </c>
      <c r="B592" s="5" t="str">
        <f>"FES1162740020"</f>
        <v>FES1162740020</v>
      </c>
      <c r="C592" s="5" t="s">
        <v>77</v>
      </c>
      <c r="D592" s="5">
        <v>0</v>
      </c>
      <c r="E592" s="5" t="str">
        <f>"2170731668"</f>
        <v>2170731668</v>
      </c>
      <c r="F592" s="5" t="s">
        <v>17</v>
      </c>
      <c r="G592" s="5" t="s">
        <v>18</v>
      </c>
      <c r="H592" s="5" t="s">
        <v>18</v>
      </c>
      <c r="I592" s="5" t="s">
        <v>338</v>
      </c>
      <c r="J592" s="5" t="s">
        <v>724</v>
      </c>
      <c r="K592" s="5" t="s">
        <v>410</v>
      </c>
      <c r="L592" s="6">
        <v>0.34375</v>
      </c>
      <c r="M592" s="5" t="s">
        <v>725</v>
      </c>
      <c r="N592" s="5" t="s">
        <v>24</v>
      </c>
      <c r="O592" s="5" t="s">
        <v>25</v>
      </c>
    </row>
    <row r="593" spans="1:15">
      <c r="A593" s="5" t="s">
        <v>15</v>
      </c>
      <c r="B593" s="5" t="str">
        <f>"FES1162740006"</f>
        <v>FES1162740006</v>
      </c>
      <c r="C593" s="5" t="s">
        <v>77</v>
      </c>
      <c r="D593" s="5">
        <v>1</v>
      </c>
      <c r="E593" s="5" t="str">
        <f>"2170731632"</f>
        <v>2170731632</v>
      </c>
      <c r="F593" s="5" t="s">
        <v>17</v>
      </c>
      <c r="G593" s="5" t="s">
        <v>18</v>
      </c>
      <c r="H593" s="5" t="s">
        <v>18</v>
      </c>
      <c r="I593" s="5" t="s">
        <v>453</v>
      </c>
      <c r="J593" s="5" t="s">
        <v>726</v>
      </c>
      <c r="K593" s="5" t="s">
        <v>410</v>
      </c>
      <c r="L593" s="6">
        <v>0.34375</v>
      </c>
      <c r="M593" s="5" t="s">
        <v>727</v>
      </c>
      <c r="N593" s="5" t="s">
        <v>24</v>
      </c>
      <c r="O593" s="5" t="s">
        <v>728</v>
      </c>
    </row>
    <row r="594" spans="1:15">
      <c r="A594" s="5" t="s">
        <v>15</v>
      </c>
      <c r="B594" s="5" t="str">
        <f>"FES1162740067"</f>
        <v>FES1162740067</v>
      </c>
      <c r="C594" s="5" t="s">
        <v>77</v>
      </c>
      <c r="D594" s="5">
        <v>0</v>
      </c>
      <c r="E594" s="5" t="str">
        <f>"2170731716"</f>
        <v>2170731716</v>
      </c>
      <c r="F594" s="5" t="s">
        <v>17</v>
      </c>
      <c r="G594" s="5" t="s">
        <v>18</v>
      </c>
      <c r="H594" s="5" t="s">
        <v>100</v>
      </c>
      <c r="I594" s="5" t="s">
        <v>101</v>
      </c>
      <c r="J594" s="5" t="s">
        <v>653</v>
      </c>
      <c r="K594" s="5" t="s">
        <v>410</v>
      </c>
      <c r="L594" s="6">
        <v>0.38472222222222219</v>
      </c>
      <c r="M594" s="5" t="s">
        <v>654</v>
      </c>
      <c r="N594" s="5" t="s">
        <v>24</v>
      </c>
      <c r="O594" s="5" t="s">
        <v>25</v>
      </c>
    </row>
    <row r="595" spans="1:15">
      <c r="A595" s="5" t="s">
        <v>15</v>
      </c>
      <c r="B595" s="5" t="str">
        <f>"FES1162739955"</f>
        <v>FES1162739955</v>
      </c>
      <c r="C595" s="5" t="s">
        <v>77</v>
      </c>
      <c r="D595" s="5">
        <v>0</v>
      </c>
      <c r="E595" s="5" t="str">
        <f>"2170731576"</f>
        <v>2170731576</v>
      </c>
      <c r="F595" s="5" t="s">
        <v>17</v>
      </c>
      <c r="G595" s="5" t="s">
        <v>18</v>
      </c>
      <c r="H595" s="5" t="s">
        <v>18</v>
      </c>
      <c r="I595" s="5" t="s">
        <v>33</v>
      </c>
      <c r="J595" s="5" t="s">
        <v>729</v>
      </c>
      <c r="K595" s="5" t="s">
        <v>410</v>
      </c>
      <c r="L595" s="6">
        <v>0.375</v>
      </c>
      <c r="M595" s="5" t="s">
        <v>730</v>
      </c>
      <c r="N595" s="5" t="s">
        <v>24</v>
      </c>
      <c r="O595" s="5" t="s">
        <v>25</v>
      </c>
    </row>
    <row r="596" spans="1:15">
      <c r="A596" s="5" t="s">
        <v>15</v>
      </c>
      <c r="B596" s="5" t="str">
        <f>"009935712083"</f>
        <v>009935712083</v>
      </c>
      <c r="C596" s="5" t="s">
        <v>77</v>
      </c>
      <c r="D596" s="5">
        <v>0</v>
      </c>
      <c r="E596" s="5" t="str">
        <f>"KOENA"</f>
        <v>KOENA</v>
      </c>
      <c r="F596" s="5" t="s">
        <v>17</v>
      </c>
      <c r="G596" s="5" t="s">
        <v>18</v>
      </c>
      <c r="H596" s="5" t="s">
        <v>100</v>
      </c>
      <c r="I596" s="5" t="s">
        <v>101</v>
      </c>
      <c r="J596" s="5" t="s">
        <v>731</v>
      </c>
      <c r="K596" s="5" t="s">
        <v>410</v>
      </c>
      <c r="L596" s="6">
        <v>0.30833333333333335</v>
      </c>
      <c r="M596" s="5" t="s">
        <v>732</v>
      </c>
      <c r="N596" s="5" t="s">
        <v>24</v>
      </c>
      <c r="O596" s="5" t="s">
        <v>25</v>
      </c>
    </row>
    <row r="597" spans="1:15">
      <c r="A597" s="5" t="s">
        <v>15</v>
      </c>
      <c r="B597" s="5" t="str">
        <f>"FES1162740086"</f>
        <v>FES1162740086</v>
      </c>
      <c r="C597" s="5" t="s">
        <v>77</v>
      </c>
      <c r="D597" s="5">
        <v>0</v>
      </c>
      <c r="E597" s="5" t="str">
        <f>"2170726385"</f>
        <v>2170726385</v>
      </c>
      <c r="F597" s="5" t="s">
        <v>17</v>
      </c>
      <c r="G597" s="5" t="s">
        <v>18</v>
      </c>
      <c r="H597" s="5" t="s">
        <v>36</v>
      </c>
      <c r="I597" s="5" t="s">
        <v>330</v>
      </c>
      <c r="J597" s="5" t="s">
        <v>331</v>
      </c>
      <c r="K597" s="5" t="s">
        <v>410</v>
      </c>
      <c r="L597" s="6">
        <v>0.50972222222222219</v>
      </c>
      <c r="M597" s="5" t="s">
        <v>332</v>
      </c>
      <c r="N597" s="5" t="s">
        <v>24</v>
      </c>
      <c r="O597" s="5" t="s">
        <v>25</v>
      </c>
    </row>
    <row r="598" spans="1:15">
      <c r="A598" s="5" t="s">
        <v>15</v>
      </c>
      <c r="B598" s="5" t="str">
        <f>"FES1162740084"</f>
        <v>FES1162740084</v>
      </c>
      <c r="C598" s="5" t="s">
        <v>77</v>
      </c>
      <c r="D598" s="5">
        <v>1</v>
      </c>
      <c r="E598" s="5" t="str">
        <f>"2170731736"</f>
        <v>2170731736</v>
      </c>
      <c r="F598" s="5" t="s">
        <v>17</v>
      </c>
      <c r="G598" s="5" t="s">
        <v>18</v>
      </c>
      <c r="H598" s="5" t="s">
        <v>18</v>
      </c>
      <c r="I598" s="5" t="s">
        <v>206</v>
      </c>
      <c r="J598" s="5" t="s">
        <v>207</v>
      </c>
      <c r="K598" s="5" t="s">
        <v>410</v>
      </c>
      <c r="L598" s="6">
        <v>0.4375</v>
      </c>
      <c r="M598" s="5" t="s">
        <v>711</v>
      </c>
      <c r="N598" s="5" t="s">
        <v>24</v>
      </c>
      <c r="O598" s="5" t="s">
        <v>25</v>
      </c>
    </row>
    <row r="599" spans="1:15">
      <c r="A599" s="5" t="s">
        <v>15</v>
      </c>
      <c r="B599" s="5" t="str">
        <f>"FES1162740009"</f>
        <v>FES1162740009</v>
      </c>
      <c r="C599" s="5" t="s">
        <v>77</v>
      </c>
      <c r="D599" s="5">
        <v>1</v>
      </c>
      <c r="E599" s="5" t="str">
        <f>"2170731653"</f>
        <v>2170731653</v>
      </c>
      <c r="F599" s="5" t="s">
        <v>17</v>
      </c>
      <c r="G599" s="5" t="s">
        <v>18</v>
      </c>
      <c r="H599" s="5" t="s">
        <v>18</v>
      </c>
      <c r="I599" s="5" t="s">
        <v>33</v>
      </c>
      <c r="J599" s="5" t="s">
        <v>733</v>
      </c>
      <c r="K599" s="5" t="s">
        <v>410</v>
      </c>
      <c r="L599" s="6">
        <v>0.42777777777777781</v>
      </c>
      <c r="M599" s="5" t="s">
        <v>734</v>
      </c>
      <c r="N599" s="5" t="s">
        <v>24</v>
      </c>
      <c r="O599" s="5" t="s">
        <v>25</v>
      </c>
    </row>
    <row r="600" spans="1:15">
      <c r="A600" s="5" t="s">
        <v>15</v>
      </c>
      <c r="B600" s="5" t="str">
        <f>"FES1162740024"</f>
        <v>FES1162740024</v>
      </c>
      <c r="C600" s="5" t="s">
        <v>77</v>
      </c>
      <c r="D600" s="5">
        <v>0</v>
      </c>
      <c r="E600" s="5" t="str">
        <f>"2170731545"</f>
        <v>2170731545</v>
      </c>
      <c r="F600" s="5" t="s">
        <v>17</v>
      </c>
      <c r="G600" s="5" t="s">
        <v>18</v>
      </c>
      <c r="H600" s="5" t="s">
        <v>100</v>
      </c>
      <c r="I600" s="5" t="s">
        <v>155</v>
      </c>
      <c r="J600" s="5" t="s">
        <v>489</v>
      </c>
      <c r="K600" s="5" t="s">
        <v>410</v>
      </c>
      <c r="L600" s="6">
        <v>0.47847222222222219</v>
      </c>
      <c r="M600" s="5" t="s">
        <v>490</v>
      </c>
      <c r="N600" s="5" t="s">
        <v>24</v>
      </c>
      <c r="O600" s="5" t="s">
        <v>25</v>
      </c>
    </row>
    <row r="601" spans="1:15">
      <c r="A601" s="3" t="s">
        <v>15</v>
      </c>
      <c r="B601" s="3" t="str">
        <f>"FES1162739997"</f>
        <v>FES1162739997</v>
      </c>
      <c r="C601" s="3" t="s">
        <v>77</v>
      </c>
      <c r="D601" s="3">
        <v>0</v>
      </c>
      <c r="E601" s="3" t="str">
        <f>"2170731631"</f>
        <v>2170731631</v>
      </c>
      <c r="F601" s="3" t="s">
        <v>17</v>
      </c>
      <c r="G601" s="3" t="s">
        <v>18</v>
      </c>
      <c r="H601" s="3" t="s">
        <v>100</v>
      </c>
      <c r="I601" s="3" t="s">
        <v>101</v>
      </c>
      <c r="J601" s="3" t="s">
        <v>125</v>
      </c>
      <c r="K601" s="3" t="s">
        <v>410</v>
      </c>
      <c r="L601" s="4">
        <v>0.3</v>
      </c>
      <c r="M601" s="3" t="s">
        <v>272</v>
      </c>
      <c r="N601" s="3" t="s">
        <v>24</v>
      </c>
      <c r="O601" s="3" t="s">
        <v>25</v>
      </c>
    </row>
    <row r="602" spans="1:15">
      <c r="A602" s="3" t="s">
        <v>15</v>
      </c>
      <c r="B602" s="3" t="str">
        <f>"FES1162740054"</f>
        <v>FES1162740054</v>
      </c>
      <c r="C602" s="3" t="s">
        <v>77</v>
      </c>
      <c r="D602" s="3">
        <v>0</v>
      </c>
      <c r="E602" s="3" t="str">
        <f>"2170731705"</f>
        <v>2170731705</v>
      </c>
      <c r="F602" s="3" t="s">
        <v>17</v>
      </c>
      <c r="G602" s="3" t="s">
        <v>18</v>
      </c>
      <c r="H602" s="3" t="s">
        <v>100</v>
      </c>
      <c r="I602" s="3" t="s">
        <v>101</v>
      </c>
      <c r="J602" s="3" t="s">
        <v>265</v>
      </c>
      <c r="K602" s="3" t="s">
        <v>410</v>
      </c>
      <c r="L602" s="4">
        <v>0.3347222222222222</v>
      </c>
      <c r="M602" s="3" t="s">
        <v>735</v>
      </c>
      <c r="N602" s="3" t="s">
        <v>24</v>
      </c>
      <c r="O602" s="3" t="s">
        <v>25</v>
      </c>
    </row>
    <row r="603" spans="1:15">
      <c r="A603" s="3" t="s">
        <v>15</v>
      </c>
      <c r="B603" s="3" t="str">
        <f>"FES1162740087"</f>
        <v>FES1162740087</v>
      </c>
      <c r="C603" s="3" t="s">
        <v>77</v>
      </c>
      <c r="D603" s="3">
        <v>0</v>
      </c>
      <c r="E603" s="3" t="str">
        <f>"2170729792"</f>
        <v>2170729792</v>
      </c>
      <c r="F603" s="3" t="s">
        <v>17</v>
      </c>
      <c r="G603" s="3" t="s">
        <v>18</v>
      </c>
      <c r="H603" s="3" t="s">
        <v>36</v>
      </c>
      <c r="I603" s="3" t="s">
        <v>330</v>
      </c>
      <c r="J603" s="3" t="s">
        <v>331</v>
      </c>
      <c r="K603" s="3" t="s">
        <v>410</v>
      </c>
      <c r="L603" s="4">
        <v>0.50972222222222219</v>
      </c>
      <c r="M603" s="3" t="s">
        <v>332</v>
      </c>
      <c r="N603" s="3" t="s">
        <v>24</v>
      </c>
      <c r="O603" s="3" t="s">
        <v>25</v>
      </c>
    </row>
    <row r="604" spans="1:15">
      <c r="A604" s="3" t="s">
        <v>15</v>
      </c>
      <c r="B604" s="3" t="str">
        <f>"FES1162740050"</f>
        <v>FES1162740050</v>
      </c>
      <c r="C604" s="3" t="s">
        <v>77</v>
      </c>
      <c r="D604" s="3">
        <v>0</v>
      </c>
      <c r="E604" s="3" t="str">
        <f>"2170731700"</f>
        <v>2170731700</v>
      </c>
      <c r="F604" s="3" t="s">
        <v>17</v>
      </c>
      <c r="G604" s="3" t="s">
        <v>18</v>
      </c>
      <c r="H604" s="3" t="s">
        <v>100</v>
      </c>
      <c r="I604" s="3" t="s">
        <v>117</v>
      </c>
      <c r="J604" s="3" t="s">
        <v>118</v>
      </c>
      <c r="K604" s="3" t="s">
        <v>410</v>
      </c>
      <c r="L604" s="4">
        <v>0.52083333333333337</v>
      </c>
      <c r="M604" s="3" t="s">
        <v>648</v>
      </c>
      <c r="N604" s="3" t="s">
        <v>24</v>
      </c>
      <c r="O604" s="3" t="s">
        <v>25</v>
      </c>
    </row>
    <row r="605" spans="1:15">
      <c r="A605" s="3" t="s">
        <v>15</v>
      </c>
      <c r="B605" s="3" t="str">
        <f>"FES1162740043"</f>
        <v>FES1162740043</v>
      </c>
      <c r="C605" s="3" t="s">
        <v>77</v>
      </c>
      <c r="D605" s="3">
        <v>0</v>
      </c>
      <c r="E605" s="3" t="str">
        <f>"2170731689"</f>
        <v>2170731689</v>
      </c>
      <c r="F605" s="3" t="s">
        <v>17</v>
      </c>
      <c r="G605" s="3" t="s">
        <v>18</v>
      </c>
      <c r="H605" s="3" t="s">
        <v>100</v>
      </c>
      <c r="I605" s="3" t="s">
        <v>101</v>
      </c>
      <c r="J605" s="3" t="s">
        <v>736</v>
      </c>
      <c r="K605" s="3" t="s">
        <v>410</v>
      </c>
      <c r="L605" s="4">
        <v>0.32291666666666669</v>
      </c>
      <c r="M605" s="3" t="s">
        <v>737</v>
      </c>
      <c r="N605" s="3" t="s">
        <v>24</v>
      </c>
      <c r="O605" s="3" t="s">
        <v>25</v>
      </c>
    </row>
    <row r="606" spans="1:15">
      <c r="A606" s="3" t="s">
        <v>15</v>
      </c>
      <c r="B606" s="3" t="str">
        <f>"FES1162740065"</f>
        <v>FES1162740065</v>
      </c>
      <c r="C606" s="3" t="s">
        <v>77</v>
      </c>
      <c r="D606" s="3">
        <v>0</v>
      </c>
      <c r="E606" s="3" t="str">
        <f>"2170731713"</f>
        <v>2170731713</v>
      </c>
      <c r="F606" s="3" t="s">
        <v>17</v>
      </c>
      <c r="G606" s="3" t="s">
        <v>18</v>
      </c>
      <c r="H606" s="3" t="s">
        <v>100</v>
      </c>
      <c r="I606" s="3" t="s">
        <v>144</v>
      </c>
      <c r="J606" s="3" t="s">
        <v>145</v>
      </c>
      <c r="K606" s="3" t="s">
        <v>410</v>
      </c>
      <c r="L606" s="4">
        <v>0.34722222222222227</v>
      </c>
      <c r="M606" s="3" t="s">
        <v>146</v>
      </c>
      <c r="N606" s="3" t="s">
        <v>24</v>
      </c>
      <c r="O606" s="3" t="s">
        <v>25</v>
      </c>
    </row>
    <row r="607" spans="1:15">
      <c r="A607" s="3" t="s">
        <v>15</v>
      </c>
      <c r="B607" s="3" t="str">
        <f>"FES1162740066"</f>
        <v>FES1162740066</v>
      </c>
      <c r="C607" s="3" t="s">
        <v>77</v>
      </c>
      <c r="D607" s="3">
        <v>0</v>
      </c>
      <c r="E607" s="3" t="str">
        <f>"2170731714"</f>
        <v>2170731714</v>
      </c>
      <c r="F607" s="3" t="s">
        <v>17</v>
      </c>
      <c r="G607" s="3" t="s">
        <v>18</v>
      </c>
      <c r="H607" s="3" t="s">
        <v>100</v>
      </c>
      <c r="I607" s="3" t="s">
        <v>101</v>
      </c>
      <c r="J607" s="3" t="s">
        <v>738</v>
      </c>
      <c r="K607" s="3" t="s">
        <v>410</v>
      </c>
      <c r="L607" s="4">
        <v>0.39999999999999997</v>
      </c>
      <c r="M607" s="3" t="s">
        <v>739</v>
      </c>
      <c r="N607" s="3" t="s">
        <v>24</v>
      </c>
      <c r="O607" s="3" t="s">
        <v>25</v>
      </c>
    </row>
    <row r="608" spans="1:15">
      <c r="A608" s="3" t="s">
        <v>15</v>
      </c>
      <c r="B608" s="3" t="str">
        <f>"FES1162740042"</f>
        <v>FES1162740042</v>
      </c>
      <c r="C608" s="3" t="s">
        <v>77</v>
      </c>
      <c r="D608" s="3">
        <v>0</v>
      </c>
      <c r="E608" s="3" t="str">
        <f>"2170731688"</f>
        <v>2170731688</v>
      </c>
      <c r="F608" s="3" t="s">
        <v>17</v>
      </c>
      <c r="G608" s="3" t="s">
        <v>18</v>
      </c>
      <c r="H608" s="3" t="s">
        <v>100</v>
      </c>
      <c r="I608" s="3" t="s">
        <v>155</v>
      </c>
      <c r="J608" s="3" t="s">
        <v>544</v>
      </c>
      <c r="K608" s="3" t="s">
        <v>410</v>
      </c>
      <c r="L608" s="4">
        <v>0.53888888888888886</v>
      </c>
      <c r="M608" s="3" t="s">
        <v>545</v>
      </c>
      <c r="N608" s="3" t="s">
        <v>24</v>
      </c>
      <c r="O608" s="3" t="s">
        <v>25</v>
      </c>
    </row>
    <row r="609" spans="1:15">
      <c r="A609" s="5" t="s">
        <v>15</v>
      </c>
      <c r="B609" s="5" t="str">
        <f>"FES1162740088"</f>
        <v>FES1162740088</v>
      </c>
      <c r="C609" s="5" t="s">
        <v>77</v>
      </c>
      <c r="D609" s="5">
        <v>0</v>
      </c>
      <c r="E609" s="5" t="str">
        <f>"2170730393"</f>
        <v>2170730393</v>
      </c>
      <c r="F609" s="5" t="s">
        <v>17</v>
      </c>
      <c r="G609" s="5" t="s">
        <v>18</v>
      </c>
      <c r="H609" s="5" t="s">
        <v>36</v>
      </c>
      <c r="I609" s="5" t="s">
        <v>330</v>
      </c>
      <c r="J609" s="5" t="s">
        <v>331</v>
      </c>
      <c r="K609" s="5" t="s">
        <v>410</v>
      </c>
      <c r="L609" s="6">
        <v>0.50972222222222219</v>
      </c>
      <c r="M609" s="5" t="s">
        <v>332</v>
      </c>
      <c r="N609" s="5" t="s">
        <v>24</v>
      </c>
      <c r="O609" s="5" t="s">
        <v>25</v>
      </c>
    </row>
    <row r="610" spans="1:15">
      <c r="A610" s="5" t="s">
        <v>15</v>
      </c>
      <c r="B610" s="5" t="str">
        <f>"FES1162739996"</f>
        <v>FES1162739996</v>
      </c>
      <c r="C610" s="5" t="s">
        <v>77</v>
      </c>
      <c r="D610" s="5">
        <v>0</v>
      </c>
      <c r="E610" s="5" t="str">
        <f>"2170731625"</f>
        <v>2170731625</v>
      </c>
      <c r="F610" s="5" t="s">
        <v>17</v>
      </c>
      <c r="G610" s="5" t="s">
        <v>18</v>
      </c>
      <c r="H610" s="5" t="s">
        <v>18</v>
      </c>
      <c r="I610" s="5" t="s">
        <v>453</v>
      </c>
      <c r="J610" s="5" t="s">
        <v>726</v>
      </c>
      <c r="K610" s="5" t="s">
        <v>410</v>
      </c>
      <c r="L610" s="6">
        <v>0.3611111111111111</v>
      </c>
      <c r="M610" s="5" t="s">
        <v>740</v>
      </c>
      <c r="N610" s="5" t="s">
        <v>24</v>
      </c>
      <c r="O610" s="5" t="s">
        <v>25</v>
      </c>
    </row>
    <row r="611" spans="1:15">
      <c r="A611" s="5" t="s">
        <v>15</v>
      </c>
      <c r="B611" s="5" t="str">
        <f>"FES1162740101"</f>
        <v>FES1162740101</v>
      </c>
      <c r="C611" s="5" t="s">
        <v>77</v>
      </c>
      <c r="D611" s="5">
        <v>0</v>
      </c>
      <c r="E611" s="5" t="str">
        <f>"2170731758"</f>
        <v>2170731758</v>
      </c>
      <c r="F611" s="5" t="s">
        <v>17</v>
      </c>
      <c r="G611" s="5" t="s">
        <v>18</v>
      </c>
      <c r="H611" s="5" t="s">
        <v>18</v>
      </c>
      <c r="I611" s="5" t="s">
        <v>29</v>
      </c>
      <c r="J611" s="5" t="s">
        <v>487</v>
      </c>
      <c r="K611" s="5" t="s">
        <v>410</v>
      </c>
      <c r="L611" s="6">
        <v>0.38194444444444442</v>
      </c>
      <c r="M611" s="5" t="s">
        <v>681</v>
      </c>
      <c r="N611" s="5" t="s">
        <v>24</v>
      </c>
      <c r="O611" s="5" t="s">
        <v>25</v>
      </c>
    </row>
    <row r="612" spans="1:15">
      <c r="A612" s="5" t="s">
        <v>15</v>
      </c>
      <c r="B612" s="5" t="str">
        <f>"FES1162740090"</f>
        <v>FES1162740090</v>
      </c>
      <c r="C612" s="5" t="s">
        <v>77</v>
      </c>
      <c r="D612" s="5">
        <v>1</v>
      </c>
      <c r="E612" s="5" t="str">
        <f>"2170731741"</f>
        <v>2170731741</v>
      </c>
      <c r="F612" s="5" t="s">
        <v>17</v>
      </c>
      <c r="G612" s="5" t="s">
        <v>18</v>
      </c>
      <c r="H612" s="5" t="s">
        <v>36</v>
      </c>
      <c r="I612" s="5" t="s">
        <v>37</v>
      </c>
      <c r="J612" s="5" t="s">
        <v>585</v>
      </c>
      <c r="K612" s="5" t="s">
        <v>410</v>
      </c>
      <c r="L612" s="6">
        <v>0.41805555555555557</v>
      </c>
      <c r="M612" s="5" t="s">
        <v>701</v>
      </c>
      <c r="N612" s="5" t="s">
        <v>24</v>
      </c>
      <c r="O612" s="5" t="s">
        <v>25</v>
      </c>
    </row>
    <row r="613" spans="1:15">
      <c r="A613" s="5" t="s">
        <v>15</v>
      </c>
      <c r="B613" s="5" t="str">
        <f>"FES1162740062"</f>
        <v>FES1162740062</v>
      </c>
      <c r="C613" s="5" t="s">
        <v>77</v>
      </c>
      <c r="D613" s="5">
        <v>2</v>
      </c>
      <c r="E613" s="5" t="str">
        <f>"2170730414"</f>
        <v>2170730414</v>
      </c>
      <c r="F613" s="5" t="s">
        <v>214</v>
      </c>
      <c r="G613" s="5" t="s">
        <v>18</v>
      </c>
      <c r="H613" s="5" t="s">
        <v>100</v>
      </c>
      <c r="I613" s="5" t="s">
        <v>101</v>
      </c>
      <c r="J613" s="5" t="s">
        <v>327</v>
      </c>
      <c r="K613" s="5" t="s">
        <v>410</v>
      </c>
      <c r="L613" s="6">
        <v>0.41805555555555557</v>
      </c>
      <c r="M613" s="5" t="s">
        <v>741</v>
      </c>
      <c r="N613" s="5" t="s">
        <v>24</v>
      </c>
      <c r="O613" s="5" t="s">
        <v>25</v>
      </c>
    </row>
    <row r="614" spans="1:15">
      <c r="A614" s="5" t="s">
        <v>15</v>
      </c>
      <c r="B614" s="5" t="str">
        <f>"FES1162740029"</f>
        <v>FES1162740029</v>
      </c>
      <c r="C614" s="5" t="s">
        <v>77</v>
      </c>
      <c r="D614" s="5">
        <v>1</v>
      </c>
      <c r="E614" s="5" t="str">
        <f>"2170731675"</f>
        <v>2170731675</v>
      </c>
      <c r="F614" s="5" t="s">
        <v>17</v>
      </c>
      <c r="G614" s="5" t="s">
        <v>18</v>
      </c>
      <c r="H614" s="5" t="s">
        <v>100</v>
      </c>
      <c r="I614" s="5" t="s">
        <v>101</v>
      </c>
      <c r="J614" s="5" t="s">
        <v>265</v>
      </c>
      <c r="K614" s="5" t="s">
        <v>410</v>
      </c>
      <c r="L614" s="6">
        <v>0.33402777777777781</v>
      </c>
      <c r="M614" s="5" t="s">
        <v>742</v>
      </c>
      <c r="N614" s="5" t="s">
        <v>24</v>
      </c>
      <c r="O614" s="5" t="s">
        <v>25</v>
      </c>
    </row>
    <row r="615" spans="1:15">
      <c r="A615" s="5" t="s">
        <v>15</v>
      </c>
      <c r="B615" s="5" t="str">
        <f>"FES1162740013"</f>
        <v>FES1162740013</v>
      </c>
      <c r="C615" s="5" t="s">
        <v>77</v>
      </c>
      <c r="D615" s="5">
        <v>2</v>
      </c>
      <c r="E615" s="5" t="str">
        <f>"2170731659"</f>
        <v>2170731659</v>
      </c>
      <c r="F615" s="5" t="s">
        <v>17</v>
      </c>
      <c r="G615" s="5" t="s">
        <v>18</v>
      </c>
      <c r="H615" s="5" t="s">
        <v>100</v>
      </c>
      <c r="I615" s="5" t="s">
        <v>101</v>
      </c>
      <c r="J615" s="5" t="s">
        <v>131</v>
      </c>
      <c r="K615" s="5" t="s">
        <v>410</v>
      </c>
      <c r="L615" s="6">
        <v>0.37083333333333335</v>
      </c>
      <c r="M615" s="5" t="s">
        <v>132</v>
      </c>
      <c r="N615" s="5" t="s">
        <v>24</v>
      </c>
      <c r="O615" s="5" t="s">
        <v>25</v>
      </c>
    </row>
    <row r="616" spans="1:15">
      <c r="A616" s="3" t="s">
        <v>15</v>
      </c>
      <c r="B616" s="3" t="str">
        <f>"FES1162740004"</f>
        <v>FES1162740004</v>
      </c>
      <c r="C616" s="3" t="s">
        <v>77</v>
      </c>
      <c r="D616" s="3">
        <v>1</v>
      </c>
      <c r="E616" s="3" t="str">
        <f>"2170731650"</f>
        <v>2170731650</v>
      </c>
      <c r="F616" s="3" t="s">
        <v>17</v>
      </c>
      <c r="G616" s="3" t="s">
        <v>18</v>
      </c>
      <c r="H616" s="3" t="s">
        <v>100</v>
      </c>
      <c r="I616" s="3" t="s">
        <v>101</v>
      </c>
      <c r="J616" s="3" t="s">
        <v>278</v>
      </c>
      <c r="K616" s="3" t="s">
        <v>410</v>
      </c>
      <c r="L616" s="4">
        <v>0.41666666666666669</v>
      </c>
      <c r="M616" s="3" t="s">
        <v>743</v>
      </c>
      <c r="N616" s="3" t="s">
        <v>24</v>
      </c>
      <c r="O616" s="3" t="s">
        <v>25</v>
      </c>
    </row>
    <row r="617" spans="1:15">
      <c r="A617" s="9" t="s">
        <v>15</v>
      </c>
      <c r="B617" s="9" t="str">
        <f>"FES1162740102"</f>
        <v>FES1162740102</v>
      </c>
      <c r="C617" s="9" t="s">
        <v>77</v>
      </c>
      <c r="D617" s="9">
        <v>1</v>
      </c>
      <c r="E617" s="9" t="str">
        <f>"2170731759"</f>
        <v>2170731759</v>
      </c>
      <c r="F617" s="9" t="s">
        <v>17</v>
      </c>
      <c r="G617" s="9" t="s">
        <v>18</v>
      </c>
      <c r="H617" s="9" t="s">
        <v>46</v>
      </c>
      <c r="I617" s="9" t="s">
        <v>744</v>
      </c>
      <c r="J617" s="9" t="s">
        <v>745</v>
      </c>
      <c r="K617" s="9" t="s">
        <v>363</v>
      </c>
      <c r="L617" s="10">
        <v>0.54166666666666663</v>
      </c>
      <c r="M617" s="9" t="s">
        <v>746</v>
      </c>
      <c r="N617" s="9" t="s">
        <v>24</v>
      </c>
      <c r="O617" s="9" t="s">
        <v>373</v>
      </c>
    </row>
    <row r="618" spans="1:15">
      <c r="A618" s="3" t="s">
        <v>15</v>
      </c>
      <c r="B618" s="3" t="str">
        <f>"FES1162740100"</f>
        <v>FES1162740100</v>
      </c>
      <c r="C618" s="3" t="s">
        <v>77</v>
      </c>
      <c r="D618" s="3">
        <v>1</v>
      </c>
      <c r="E618" s="3" t="str">
        <f>"2170731748"</f>
        <v>2170731748</v>
      </c>
      <c r="F618" s="3" t="s">
        <v>17</v>
      </c>
      <c r="G618" s="3" t="s">
        <v>18</v>
      </c>
      <c r="H618" s="3" t="s">
        <v>36</v>
      </c>
      <c r="I618" s="3" t="s">
        <v>37</v>
      </c>
      <c r="J618" s="3" t="s">
        <v>585</v>
      </c>
      <c r="K618" s="3" t="s">
        <v>410</v>
      </c>
      <c r="L618" s="4">
        <v>0.41805555555555557</v>
      </c>
      <c r="M618" s="3" t="s">
        <v>701</v>
      </c>
      <c r="N618" s="3" t="s">
        <v>24</v>
      </c>
      <c r="O618" s="3" t="s">
        <v>25</v>
      </c>
    </row>
    <row r="619" spans="1:15">
      <c r="A619" s="3" t="s">
        <v>15</v>
      </c>
      <c r="B619" s="3" t="str">
        <f>"FES1162740083"</f>
        <v>FES1162740083</v>
      </c>
      <c r="C619" s="3" t="s">
        <v>77</v>
      </c>
      <c r="D619" s="3">
        <v>1</v>
      </c>
      <c r="E619" s="3" t="str">
        <f>"2170731735"</f>
        <v>2170731735</v>
      </c>
      <c r="F619" s="3" t="s">
        <v>17</v>
      </c>
      <c r="G619" s="3" t="s">
        <v>18</v>
      </c>
      <c r="H619" s="3" t="s">
        <v>18</v>
      </c>
      <c r="I619" s="3" t="s">
        <v>33</v>
      </c>
      <c r="J619" s="3" t="s">
        <v>559</v>
      </c>
      <c r="K619" s="3" t="s">
        <v>410</v>
      </c>
      <c r="L619" s="4">
        <v>0.75902777777777775</v>
      </c>
      <c r="M619" s="3" t="s">
        <v>747</v>
      </c>
      <c r="N619" s="3" t="s">
        <v>24</v>
      </c>
      <c r="O619" s="3" t="s">
        <v>25</v>
      </c>
    </row>
    <row r="620" spans="1:15">
      <c r="A620" s="3" t="s">
        <v>15</v>
      </c>
      <c r="B620" s="3" t="str">
        <f>"FES1162740069"</f>
        <v>FES1162740069</v>
      </c>
      <c r="C620" s="3" t="s">
        <v>77</v>
      </c>
      <c r="D620" s="3">
        <v>1</v>
      </c>
      <c r="E620" s="3" t="str">
        <f>"2170731720"</f>
        <v>2170731720</v>
      </c>
      <c r="F620" s="3" t="s">
        <v>17</v>
      </c>
      <c r="G620" s="3" t="s">
        <v>18</v>
      </c>
      <c r="H620" s="3" t="s">
        <v>66</v>
      </c>
      <c r="I620" s="3" t="s">
        <v>67</v>
      </c>
      <c r="J620" s="3" t="s">
        <v>298</v>
      </c>
      <c r="K620" s="3" t="s">
        <v>410</v>
      </c>
      <c r="L620" s="4">
        <v>0.36458333333333331</v>
      </c>
      <c r="M620" s="3" t="s">
        <v>299</v>
      </c>
      <c r="N620" s="3" t="s">
        <v>24</v>
      </c>
      <c r="O620" s="3" t="s">
        <v>25</v>
      </c>
    </row>
    <row r="621" spans="1:15">
      <c r="A621" s="3" t="s">
        <v>15</v>
      </c>
      <c r="B621" s="3" t="str">
        <f>"FES1162740093"</f>
        <v>FES1162740093</v>
      </c>
      <c r="C621" s="3" t="s">
        <v>77</v>
      </c>
      <c r="D621" s="3">
        <v>1</v>
      </c>
      <c r="E621" s="3" t="str">
        <f>"2170731749"</f>
        <v>2170731749</v>
      </c>
      <c r="F621" s="3" t="s">
        <v>17</v>
      </c>
      <c r="G621" s="3" t="s">
        <v>18</v>
      </c>
      <c r="H621" s="3" t="s">
        <v>19</v>
      </c>
      <c r="I621" s="3" t="s">
        <v>20</v>
      </c>
      <c r="J621" s="3" t="s">
        <v>748</v>
      </c>
      <c r="K621" s="3" t="s">
        <v>410</v>
      </c>
      <c r="L621" s="4">
        <v>0.41736111111111113</v>
      </c>
      <c r="M621" s="3" t="s">
        <v>268</v>
      </c>
      <c r="N621" s="3" t="s">
        <v>24</v>
      </c>
      <c r="O621" s="3" t="s">
        <v>25</v>
      </c>
    </row>
    <row r="622" spans="1:15">
      <c r="A622" s="3" t="s">
        <v>15</v>
      </c>
      <c r="B622" s="3" t="str">
        <f>"FES1162740081"</f>
        <v>FES1162740081</v>
      </c>
      <c r="C622" s="3" t="s">
        <v>77</v>
      </c>
      <c r="D622" s="3">
        <v>1</v>
      </c>
      <c r="E622" s="3" t="str">
        <f>"2170731737"</f>
        <v>2170731737</v>
      </c>
      <c r="F622" s="3" t="s">
        <v>17</v>
      </c>
      <c r="G622" s="3" t="s">
        <v>18</v>
      </c>
      <c r="H622" s="3" t="s">
        <v>18</v>
      </c>
      <c r="I622" s="3" t="s">
        <v>341</v>
      </c>
      <c r="J622" s="3" t="s">
        <v>278</v>
      </c>
      <c r="K622" s="3" t="s">
        <v>410</v>
      </c>
      <c r="L622" s="4">
        <v>0.38541666666666669</v>
      </c>
      <c r="M622" s="3" t="s">
        <v>749</v>
      </c>
      <c r="N622" s="3" t="s">
        <v>24</v>
      </c>
      <c r="O622" s="3" t="s">
        <v>25</v>
      </c>
    </row>
    <row r="623" spans="1:15">
      <c r="A623" s="3" t="s">
        <v>15</v>
      </c>
      <c r="B623" s="3" t="str">
        <f>"FES1162740025"</f>
        <v>FES1162740025</v>
      </c>
      <c r="C623" s="3" t="s">
        <v>77</v>
      </c>
      <c r="D623" s="3">
        <v>0</v>
      </c>
      <c r="E623" s="3" t="str">
        <f>"2170731549"</f>
        <v>2170731549</v>
      </c>
      <c r="F623" s="3" t="s">
        <v>17</v>
      </c>
      <c r="G623" s="3" t="s">
        <v>18</v>
      </c>
      <c r="H623" s="3" t="s">
        <v>19</v>
      </c>
      <c r="I623" s="3" t="s">
        <v>51</v>
      </c>
      <c r="J623" s="3" t="s">
        <v>209</v>
      </c>
      <c r="K623" s="3" t="s">
        <v>410</v>
      </c>
      <c r="L623" s="4">
        <v>0.3576388888888889</v>
      </c>
      <c r="M623" s="3" t="s">
        <v>235</v>
      </c>
      <c r="N623" s="3" t="s">
        <v>24</v>
      </c>
      <c r="O623" s="3" t="s">
        <v>25</v>
      </c>
    </row>
    <row r="624" spans="1:15">
      <c r="A624" s="3" t="s">
        <v>15</v>
      </c>
      <c r="B624" s="3" t="str">
        <f>"FES1162740021"</f>
        <v>FES1162740021</v>
      </c>
      <c r="C624" s="3" t="s">
        <v>77</v>
      </c>
      <c r="D624" s="3">
        <v>1</v>
      </c>
      <c r="E624" s="3" t="str">
        <f>"217071669"</f>
        <v>217071669</v>
      </c>
      <c r="F624" s="3" t="s">
        <v>17</v>
      </c>
      <c r="G624" s="3" t="s">
        <v>18</v>
      </c>
      <c r="H624" s="3" t="s">
        <v>19</v>
      </c>
      <c r="I624" s="3" t="s">
        <v>20</v>
      </c>
      <c r="J624" s="3" t="s">
        <v>21</v>
      </c>
      <c r="K624" s="3" t="s">
        <v>410</v>
      </c>
      <c r="L624" s="4">
        <v>0.4236111111111111</v>
      </c>
      <c r="M624" s="3" t="s">
        <v>261</v>
      </c>
      <c r="N624" s="3" t="s">
        <v>24</v>
      </c>
      <c r="O624" s="3" t="s">
        <v>25</v>
      </c>
    </row>
    <row r="625" spans="1:15">
      <c r="A625" s="3" t="s">
        <v>15</v>
      </c>
      <c r="B625" s="3" t="str">
        <f>"FES1162740023"</f>
        <v>FES1162740023</v>
      </c>
      <c r="C625" s="3" t="s">
        <v>77</v>
      </c>
      <c r="D625" s="3">
        <v>1</v>
      </c>
      <c r="E625" s="3" t="str">
        <f>"2170731577"</f>
        <v>2170731577</v>
      </c>
      <c r="F625" s="3" t="s">
        <v>17</v>
      </c>
      <c r="G625" s="3" t="s">
        <v>18</v>
      </c>
      <c r="H625" s="3" t="s">
        <v>70</v>
      </c>
      <c r="I625" s="3" t="s">
        <v>71</v>
      </c>
      <c r="J625" s="3" t="s">
        <v>750</v>
      </c>
      <c r="K625" s="3" t="s">
        <v>410</v>
      </c>
      <c r="L625" s="4">
        <v>0.36805555555555558</v>
      </c>
      <c r="M625" s="3" t="s">
        <v>751</v>
      </c>
      <c r="N625" s="3" t="s">
        <v>24</v>
      </c>
      <c r="O625" s="3" t="s">
        <v>25</v>
      </c>
    </row>
    <row r="626" spans="1:15">
      <c r="A626" s="5" t="s">
        <v>15</v>
      </c>
      <c r="B626" s="5" t="str">
        <f>"FES1162740032"</f>
        <v>FES1162740032</v>
      </c>
      <c r="C626" s="5" t="s">
        <v>77</v>
      </c>
      <c r="D626" s="5">
        <v>0</v>
      </c>
      <c r="E626" s="5" t="str">
        <f>"2170731678"</f>
        <v>2170731678</v>
      </c>
      <c r="F626" s="5" t="s">
        <v>17</v>
      </c>
      <c r="G626" s="5" t="s">
        <v>18</v>
      </c>
      <c r="H626" s="5" t="s">
        <v>19</v>
      </c>
      <c r="I626" s="5" t="s">
        <v>20</v>
      </c>
      <c r="J626" s="5" t="s">
        <v>752</v>
      </c>
      <c r="K626" s="5" t="s">
        <v>410</v>
      </c>
      <c r="L626" s="6">
        <v>0.4145833333333333</v>
      </c>
      <c r="M626" s="5" t="s">
        <v>753</v>
      </c>
      <c r="N626" s="5" t="s">
        <v>24</v>
      </c>
      <c r="O626" s="5" t="s">
        <v>25</v>
      </c>
    </row>
    <row r="627" spans="1:15">
      <c r="A627" s="5" t="s">
        <v>15</v>
      </c>
      <c r="B627" s="5" t="str">
        <f>"FES1162740028"</f>
        <v>FES1162740028</v>
      </c>
      <c r="C627" s="5" t="s">
        <v>77</v>
      </c>
      <c r="D627" s="5">
        <v>1</v>
      </c>
      <c r="E627" s="5" t="str">
        <f>"2170731674"</f>
        <v>2170731674</v>
      </c>
      <c r="F627" s="5" t="s">
        <v>17</v>
      </c>
      <c r="G627" s="5" t="s">
        <v>18</v>
      </c>
      <c r="H627" s="5" t="s">
        <v>19</v>
      </c>
      <c r="I627" s="5" t="s">
        <v>51</v>
      </c>
      <c r="J627" s="5" t="s">
        <v>89</v>
      </c>
      <c r="K627" s="5" t="s">
        <v>410</v>
      </c>
      <c r="L627" s="6">
        <v>0.34027777777777773</v>
      </c>
      <c r="M627" s="5" t="s">
        <v>90</v>
      </c>
      <c r="N627" s="5" t="s">
        <v>24</v>
      </c>
      <c r="O627" s="5" t="s">
        <v>25</v>
      </c>
    </row>
    <row r="628" spans="1:15">
      <c r="A628" s="5" t="s">
        <v>15</v>
      </c>
      <c r="B628" s="5" t="str">
        <f>"FES1162740047"</f>
        <v>FES1162740047</v>
      </c>
      <c r="C628" s="5" t="s">
        <v>77</v>
      </c>
      <c r="D628" s="5">
        <v>1</v>
      </c>
      <c r="E628" s="5" t="str">
        <f>"2170731697"</f>
        <v>2170731697</v>
      </c>
      <c r="F628" s="5" t="s">
        <v>17</v>
      </c>
      <c r="G628" s="5" t="s">
        <v>18</v>
      </c>
      <c r="H628" s="5" t="s">
        <v>19</v>
      </c>
      <c r="I628" s="5" t="s">
        <v>86</v>
      </c>
      <c r="J628" s="5" t="s">
        <v>273</v>
      </c>
      <c r="K628" s="5" t="s">
        <v>410</v>
      </c>
      <c r="L628" s="6">
        <v>0.4375</v>
      </c>
      <c r="M628" s="5" t="s">
        <v>754</v>
      </c>
      <c r="N628" s="5" t="s">
        <v>24</v>
      </c>
      <c r="O628" s="5" t="s">
        <v>25</v>
      </c>
    </row>
    <row r="629" spans="1:15">
      <c r="A629" s="5" t="s">
        <v>15</v>
      </c>
      <c r="B629" s="5" t="str">
        <f>"FES1162740031"</f>
        <v>FES1162740031</v>
      </c>
      <c r="C629" s="5" t="s">
        <v>77</v>
      </c>
      <c r="D629" s="5">
        <v>0</v>
      </c>
      <c r="E629" s="5" t="str">
        <f>"2170731677"</f>
        <v>2170731677</v>
      </c>
      <c r="F629" s="5" t="s">
        <v>17</v>
      </c>
      <c r="G629" s="5" t="s">
        <v>18</v>
      </c>
      <c r="H629" s="5" t="s">
        <v>70</v>
      </c>
      <c r="I629" s="5" t="s">
        <v>71</v>
      </c>
      <c r="J629" s="5" t="s">
        <v>422</v>
      </c>
      <c r="K629" s="5" t="s">
        <v>410</v>
      </c>
      <c r="L629" s="6">
        <v>0.44236111111111115</v>
      </c>
      <c r="M629" s="5" t="s">
        <v>423</v>
      </c>
      <c r="N629" s="5" t="s">
        <v>24</v>
      </c>
      <c r="O629" s="5" t="s">
        <v>25</v>
      </c>
    </row>
    <row r="630" spans="1:15">
      <c r="A630" s="5" t="s">
        <v>15</v>
      </c>
      <c r="B630" s="5" t="str">
        <f>"FES1162740048"</f>
        <v>FES1162740048</v>
      </c>
      <c r="C630" s="5" t="s">
        <v>77</v>
      </c>
      <c r="D630" s="5">
        <v>0</v>
      </c>
      <c r="E630" s="5" t="str">
        <f>"2170731698"</f>
        <v>2170731698</v>
      </c>
      <c r="F630" s="5" t="s">
        <v>17</v>
      </c>
      <c r="G630" s="5" t="s">
        <v>18</v>
      </c>
      <c r="H630" s="5" t="s">
        <v>70</v>
      </c>
      <c r="I630" s="5" t="s">
        <v>755</v>
      </c>
      <c r="J630" s="5" t="s">
        <v>756</v>
      </c>
      <c r="K630" s="5" t="s">
        <v>410</v>
      </c>
      <c r="L630" s="6">
        <v>0.44236111111111115</v>
      </c>
      <c r="M630" s="5" t="s">
        <v>757</v>
      </c>
      <c r="N630" s="5" t="s">
        <v>24</v>
      </c>
      <c r="O630" s="5" t="s">
        <v>25</v>
      </c>
    </row>
    <row r="631" spans="1:15">
      <c r="A631" s="5" t="s">
        <v>15</v>
      </c>
      <c r="B631" s="5" t="str">
        <f>"FES1162740080"</f>
        <v>FES1162740080</v>
      </c>
      <c r="C631" s="5" t="s">
        <v>77</v>
      </c>
      <c r="D631" s="5">
        <v>1</v>
      </c>
      <c r="E631" s="5" t="str">
        <f>"2170731374"</f>
        <v>2170731374</v>
      </c>
      <c r="F631" s="5" t="s">
        <v>17</v>
      </c>
      <c r="G631" s="5" t="s">
        <v>18</v>
      </c>
      <c r="H631" s="5" t="s">
        <v>19</v>
      </c>
      <c r="I631" s="5" t="s">
        <v>236</v>
      </c>
      <c r="J631" s="5" t="s">
        <v>257</v>
      </c>
      <c r="K631" s="5" t="s">
        <v>410</v>
      </c>
      <c r="L631" s="6">
        <v>0.4284722222222222</v>
      </c>
      <c r="M631" s="5" t="s">
        <v>258</v>
      </c>
      <c r="N631" s="5" t="s">
        <v>24</v>
      </c>
      <c r="O631" s="5" t="s">
        <v>25</v>
      </c>
    </row>
    <row r="632" spans="1:15">
      <c r="A632" s="5" t="s">
        <v>15</v>
      </c>
      <c r="B632" s="5" t="str">
        <f>"FES1162740038"</f>
        <v>FES1162740038</v>
      </c>
      <c r="C632" s="5" t="s">
        <v>77</v>
      </c>
      <c r="D632" s="5">
        <v>0</v>
      </c>
      <c r="E632" s="5" t="str">
        <f>"2170731454"</f>
        <v>2170731454</v>
      </c>
      <c r="F632" s="5" t="s">
        <v>17</v>
      </c>
      <c r="G632" s="5" t="s">
        <v>18</v>
      </c>
      <c r="H632" s="5" t="s">
        <v>19</v>
      </c>
      <c r="I632" s="5" t="s">
        <v>445</v>
      </c>
      <c r="J632" s="5" t="s">
        <v>566</v>
      </c>
      <c r="K632" s="5" t="s">
        <v>410</v>
      </c>
      <c r="L632" s="6">
        <v>0.66666666666666663</v>
      </c>
      <c r="M632" s="5" t="s">
        <v>758</v>
      </c>
      <c r="N632" s="5" t="s">
        <v>24</v>
      </c>
      <c r="O632" s="5" t="s">
        <v>25</v>
      </c>
    </row>
    <row r="633" spans="1:15">
      <c r="A633" s="5" t="s">
        <v>15</v>
      </c>
      <c r="B633" s="5" t="str">
        <f>"FES1162740037"</f>
        <v>FES1162740037</v>
      </c>
      <c r="C633" s="5" t="s">
        <v>77</v>
      </c>
      <c r="D633" s="5">
        <v>0</v>
      </c>
      <c r="E633" s="5" t="str">
        <f>"2170731683"</f>
        <v>2170731683</v>
      </c>
      <c r="F633" s="5" t="s">
        <v>17</v>
      </c>
      <c r="G633" s="5" t="s">
        <v>18</v>
      </c>
      <c r="H633" s="5" t="s">
        <v>70</v>
      </c>
      <c r="I633" s="5" t="s">
        <v>71</v>
      </c>
      <c r="J633" s="5" t="s">
        <v>422</v>
      </c>
      <c r="K633" s="5" t="s">
        <v>410</v>
      </c>
      <c r="L633" s="6">
        <v>0.4375</v>
      </c>
      <c r="M633" s="5" t="s">
        <v>423</v>
      </c>
      <c r="N633" s="5" t="s">
        <v>24</v>
      </c>
      <c r="O633" s="5" t="s">
        <v>25</v>
      </c>
    </row>
    <row r="634" spans="1:15">
      <c r="A634" s="5" t="s">
        <v>15</v>
      </c>
      <c r="B634" s="5" t="str">
        <f>"FES1162740077"</f>
        <v>FES1162740077</v>
      </c>
      <c r="C634" s="5" t="s">
        <v>77</v>
      </c>
      <c r="D634" s="5">
        <v>0</v>
      </c>
      <c r="E634" s="5" t="str">
        <f>"2170731730"</f>
        <v>2170731730</v>
      </c>
      <c r="F634" s="5" t="s">
        <v>17</v>
      </c>
      <c r="G634" s="5" t="s">
        <v>18</v>
      </c>
      <c r="H634" s="5" t="s">
        <v>19</v>
      </c>
      <c r="I634" s="5" t="s">
        <v>20</v>
      </c>
      <c r="J634" s="5" t="s">
        <v>503</v>
      </c>
      <c r="K634" s="5" t="s">
        <v>410</v>
      </c>
      <c r="L634" s="6">
        <v>0.41388888888888892</v>
      </c>
      <c r="M634" s="5" t="s">
        <v>759</v>
      </c>
      <c r="N634" s="5" t="s">
        <v>24</v>
      </c>
      <c r="O634" s="5" t="s">
        <v>25</v>
      </c>
    </row>
    <row r="635" spans="1:15">
      <c r="A635" s="5" t="s">
        <v>15</v>
      </c>
      <c r="B635" s="5" t="str">
        <f>"FES1162740034"</f>
        <v>FES1162740034</v>
      </c>
      <c r="C635" s="5" t="s">
        <v>77</v>
      </c>
      <c r="D635" s="5">
        <v>0</v>
      </c>
      <c r="E635" s="5" t="str">
        <f>"2170731680"</f>
        <v>2170731680</v>
      </c>
      <c r="F635" s="5" t="s">
        <v>17</v>
      </c>
      <c r="G635" s="5" t="s">
        <v>18</v>
      </c>
      <c r="H635" s="5" t="s">
        <v>70</v>
      </c>
      <c r="I635" s="5" t="s">
        <v>71</v>
      </c>
      <c r="J635" s="5" t="s">
        <v>422</v>
      </c>
      <c r="K635" s="5" t="s">
        <v>410</v>
      </c>
      <c r="L635" s="6">
        <v>0.4375</v>
      </c>
      <c r="M635" s="5" t="s">
        <v>423</v>
      </c>
      <c r="N635" s="5" t="s">
        <v>24</v>
      </c>
      <c r="O635" s="5" t="s">
        <v>25</v>
      </c>
    </row>
    <row r="636" spans="1:15">
      <c r="A636" s="3" t="s">
        <v>15</v>
      </c>
      <c r="B636" s="3" t="str">
        <f>"FES1162740005"</f>
        <v>FES1162740005</v>
      </c>
      <c r="C636" s="3" t="s">
        <v>77</v>
      </c>
      <c r="D636" s="3">
        <v>1</v>
      </c>
      <c r="E636" s="3" t="str">
        <f>"2170731648"</f>
        <v>2170731648</v>
      </c>
      <c r="F636" s="3" t="s">
        <v>17</v>
      </c>
      <c r="G636" s="3" t="s">
        <v>18</v>
      </c>
      <c r="H636" s="3" t="s">
        <v>100</v>
      </c>
      <c r="I636" s="3" t="s">
        <v>101</v>
      </c>
      <c r="J636" s="3" t="s">
        <v>265</v>
      </c>
      <c r="K636" s="3" t="s">
        <v>410</v>
      </c>
      <c r="L636" s="4">
        <v>0.3347222222222222</v>
      </c>
      <c r="M636" s="3" t="s">
        <v>657</v>
      </c>
      <c r="N636" s="3" t="s">
        <v>24</v>
      </c>
      <c r="O636" s="3" t="s">
        <v>25</v>
      </c>
    </row>
    <row r="637" spans="1:15">
      <c r="A637" s="3" t="s">
        <v>15</v>
      </c>
      <c r="B637" s="3" t="str">
        <f>"FES1162740063"</f>
        <v>FES1162740063</v>
      </c>
      <c r="C637" s="3" t="s">
        <v>77</v>
      </c>
      <c r="D637" s="3">
        <v>1</v>
      </c>
      <c r="E637" s="3" t="str">
        <f>"2170730768"</f>
        <v>2170730768</v>
      </c>
      <c r="F637" s="3" t="s">
        <v>17</v>
      </c>
      <c r="G637" s="3" t="s">
        <v>18</v>
      </c>
      <c r="H637" s="3" t="s">
        <v>100</v>
      </c>
      <c r="I637" s="3" t="s">
        <v>101</v>
      </c>
      <c r="J637" s="3" t="s">
        <v>760</v>
      </c>
      <c r="K637" s="3" t="s">
        <v>410</v>
      </c>
      <c r="L637" s="4">
        <v>0.43472222222222223</v>
      </c>
      <c r="M637" s="3" t="s">
        <v>328</v>
      </c>
      <c r="N637" s="3" t="s">
        <v>24</v>
      </c>
      <c r="O637" s="3" t="s">
        <v>25</v>
      </c>
    </row>
    <row r="638" spans="1:15">
      <c r="A638" s="3" t="s">
        <v>15</v>
      </c>
      <c r="B638" s="3" t="str">
        <f>"FES1162740103"</f>
        <v>FES1162740103</v>
      </c>
      <c r="C638" s="3" t="s">
        <v>77</v>
      </c>
      <c r="D638" s="3">
        <v>1</v>
      </c>
      <c r="E638" s="3" t="str">
        <f>"2170731760"</f>
        <v>2170731760</v>
      </c>
      <c r="F638" s="3" t="s">
        <v>17</v>
      </c>
      <c r="G638" s="3" t="s">
        <v>18</v>
      </c>
      <c r="H638" s="3" t="s">
        <v>18</v>
      </c>
      <c r="I638" s="3" t="s">
        <v>29</v>
      </c>
      <c r="J638" s="3" t="s">
        <v>761</v>
      </c>
      <c r="K638" s="3" t="s">
        <v>410</v>
      </c>
      <c r="L638" s="4">
        <v>0.43402777777777773</v>
      </c>
      <c r="M638" s="3" t="s">
        <v>762</v>
      </c>
      <c r="N638" s="3" t="s">
        <v>24</v>
      </c>
      <c r="O638" s="3" t="s">
        <v>25</v>
      </c>
    </row>
    <row r="639" spans="1:15">
      <c r="A639" s="3" t="s">
        <v>15</v>
      </c>
      <c r="B639" s="3" t="str">
        <f>"FES1162740120"</f>
        <v>FES1162740120</v>
      </c>
      <c r="C639" s="3" t="s">
        <v>77</v>
      </c>
      <c r="D639" s="3">
        <v>0</v>
      </c>
      <c r="E639" s="3" t="str">
        <f>"2170731518"</f>
        <v>2170731518</v>
      </c>
      <c r="F639" s="3" t="s">
        <v>17</v>
      </c>
      <c r="G639" s="3" t="s">
        <v>18</v>
      </c>
      <c r="H639" s="3" t="s">
        <v>46</v>
      </c>
      <c r="I639" s="3" t="s">
        <v>620</v>
      </c>
      <c r="J639" s="3" t="s">
        <v>621</v>
      </c>
      <c r="K639" s="3" t="s">
        <v>410</v>
      </c>
      <c r="L639" s="3" t="s">
        <v>622</v>
      </c>
      <c r="M639" s="3" t="s">
        <v>623</v>
      </c>
      <c r="N639" s="3" t="s">
        <v>24</v>
      </c>
      <c r="O639" s="3" t="s">
        <v>25</v>
      </c>
    </row>
    <row r="640" spans="1:15">
      <c r="A640" s="3" t="s">
        <v>15</v>
      </c>
      <c r="B640" s="3" t="str">
        <f>"FES1162740112"</f>
        <v>FES1162740112</v>
      </c>
      <c r="C640" s="3" t="s">
        <v>77</v>
      </c>
      <c r="D640" s="3">
        <v>1</v>
      </c>
      <c r="E640" s="3" t="str">
        <f>"2170730393"</f>
        <v>2170730393</v>
      </c>
      <c r="F640" s="3" t="s">
        <v>17</v>
      </c>
      <c r="G640" s="3" t="s">
        <v>18</v>
      </c>
      <c r="H640" s="3" t="s">
        <v>36</v>
      </c>
      <c r="I640" s="3" t="s">
        <v>330</v>
      </c>
      <c r="J640" s="3" t="s">
        <v>331</v>
      </c>
      <c r="K640" s="3" t="s">
        <v>410</v>
      </c>
      <c r="L640" s="4">
        <v>0.50972222222222219</v>
      </c>
      <c r="M640" s="3" t="s">
        <v>332</v>
      </c>
      <c r="N640" s="3" t="s">
        <v>24</v>
      </c>
      <c r="O640" s="3" t="s">
        <v>25</v>
      </c>
    </row>
    <row r="641" spans="1:15">
      <c r="A641" s="3" t="s">
        <v>15</v>
      </c>
      <c r="B641" s="3" t="str">
        <f>"FES1162740085"</f>
        <v>FES1162740085</v>
      </c>
      <c r="C641" s="3" t="s">
        <v>77</v>
      </c>
      <c r="D641" s="3">
        <v>0</v>
      </c>
      <c r="E641" s="3" t="str">
        <f>"2170731739"</f>
        <v>2170731739</v>
      </c>
      <c r="F641" s="3" t="s">
        <v>17</v>
      </c>
      <c r="G641" s="3" t="s">
        <v>18</v>
      </c>
      <c r="H641" s="3" t="s">
        <v>18</v>
      </c>
      <c r="I641" s="3" t="s">
        <v>206</v>
      </c>
      <c r="J641" s="3" t="s">
        <v>207</v>
      </c>
      <c r="K641" s="3" t="s">
        <v>410</v>
      </c>
      <c r="L641" s="4">
        <v>0.4375</v>
      </c>
      <c r="M641" s="3" t="s">
        <v>711</v>
      </c>
      <c r="N641" s="3" t="s">
        <v>24</v>
      </c>
      <c r="O641" s="3" t="s">
        <v>25</v>
      </c>
    </row>
    <row r="642" spans="1:15">
      <c r="A642" s="3" t="s">
        <v>15</v>
      </c>
      <c r="B642" s="3" t="str">
        <f>"FES1162740071"</f>
        <v>FES1162740071</v>
      </c>
      <c r="C642" s="3" t="s">
        <v>77</v>
      </c>
      <c r="D642" s="3">
        <v>1</v>
      </c>
      <c r="E642" s="3" t="str">
        <f>"2170731722"</f>
        <v>2170731722</v>
      </c>
      <c r="F642" s="3" t="s">
        <v>17</v>
      </c>
      <c r="G642" s="3" t="s">
        <v>18</v>
      </c>
      <c r="H642" s="3" t="s">
        <v>19</v>
      </c>
      <c r="I642" s="3" t="s">
        <v>20</v>
      </c>
      <c r="J642" s="3" t="s">
        <v>223</v>
      </c>
      <c r="K642" s="3" t="s">
        <v>410</v>
      </c>
      <c r="L642" s="4">
        <v>0.39513888888888887</v>
      </c>
      <c r="M642" s="3" t="s">
        <v>763</v>
      </c>
      <c r="N642" s="3" t="s">
        <v>24</v>
      </c>
      <c r="O642" s="3" t="s">
        <v>25</v>
      </c>
    </row>
    <row r="643" spans="1:15">
      <c r="A643" s="3" t="s">
        <v>15</v>
      </c>
      <c r="B643" s="3" t="str">
        <f>"FES1162740036"</f>
        <v>FES1162740036</v>
      </c>
      <c r="C643" s="3" t="s">
        <v>77</v>
      </c>
      <c r="D643" s="3">
        <v>1</v>
      </c>
      <c r="E643" s="3" t="str">
        <f>"2170731682"</f>
        <v>2170731682</v>
      </c>
      <c r="F643" s="3" t="s">
        <v>17</v>
      </c>
      <c r="G643" s="3" t="s">
        <v>18</v>
      </c>
      <c r="H643" s="3" t="s">
        <v>19</v>
      </c>
      <c r="I643" s="3" t="s">
        <v>51</v>
      </c>
      <c r="J643" s="3" t="s">
        <v>89</v>
      </c>
      <c r="K643" s="3" t="s">
        <v>410</v>
      </c>
      <c r="L643" s="4">
        <v>0.34097222222222223</v>
      </c>
      <c r="M643" s="3" t="s">
        <v>90</v>
      </c>
      <c r="N643" s="3" t="s">
        <v>24</v>
      </c>
      <c r="O643" s="3" t="s">
        <v>25</v>
      </c>
    </row>
    <row r="644" spans="1:15">
      <c r="A644" s="3" t="s">
        <v>15</v>
      </c>
      <c r="B644" s="3" t="str">
        <f>"FES1162740035"</f>
        <v>FES1162740035</v>
      </c>
      <c r="C644" s="3" t="s">
        <v>77</v>
      </c>
      <c r="D644" s="3">
        <v>1</v>
      </c>
      <c r="E644" s="3" t="str">
        <f>"2170740035"</f>
        <v>2170740035</v>
      </c>
      <c r="F644" s="3" t="s">
        <v>17</v>
      </c>
      <c r="G644" s="3" t="s">
        <v>18</v>
      </c>
      <c r="H644" s="3" t="s">
        <v>19</v>
      </c>
      <c r="I644" s="3" t="s">
        <v>51</v>
      </c>
      <c r="J644" s="3" t="s">
        <v>89</v>
      </c>
      <c r="K644" s="3" t="s">
        <v>410</v>
      </c>
      <c r="L644" s="4">
        <v>0.34027777777777773</v>
      </c>
      <c r="M644" s="3" t="s">
        <v>90</v>
      </c>
      <c r="N644" s="3" t="s">
        <v>24</v>
      </c>
      <c r="O644" s="3" t="s">
        <v>25</v>
      </c>
    </row>
    <row r="645" spans="1:15">
      <c r="A645" s="3" t="s">
        <v>15</v>
      </c>
      <c r="B645" s="3" t="str">
        <f>"FES1162740105"</f>
        <v>FES1162740105</v>
      </c>
      <c r="C645" s="3" t="s">
        <v>77</v>
      </c>
      <c r="D645" s="3">
        <v>0</v>
      </c>
      <c r="E645" s="3" t="str">
        <f>"2170731763"</f>
        <v>2170731763</v>
      </c>
      <c r="F645" s="3" t="s">
        <v>17</v>
      </c>
      <c r="G645" s="3" t="s">
        <v>18</v>
      </c>
      <c r="H645" s="3" t="s">
        <v>100</v>
      </c>
      <c r="I645" s="3" t="s">
        <v>101</v>
      </c>
      <c r="J645" s="3" t="s">
        <v>764</v>
      </c>
      <c r="K645" s="3" t="s">
        <v>410</v>
      </c>
      <c r="L645" s="4">
        <v>0.36249999999999999</v>
      </c>
      <c r="M645" s="3" t="s">
        <v>765</v>
      </c>
      <c r="N645" s="3" t="s">
        <v>24</v>
      </c>
      <c r="O645" s="3" t="s">
        <v>25</v>
      </c>
    </row>
    <row r="646" spans="1:15">
      <c r="A646" s="3" t="s">
        <v>15</v>
      </c>
      <c r="B646" s="3" t="str">
        <f>"FES1162740068"</f>
        <v>FES1162740068</v>
      </c>
      <c r="C646" s="3" t="s">
        <v>77</v>
      </c>
      <c r="D646" s="3">
        <v>0</v>
      </c>
      <c r="E646" s="3" t="str">
        <f>"2170731717"</f>
        <v>2170731717</v>
      </c>
      <c r="F646" s="3" t="s">
        <v>17</v>
      </c>
      <c r="G646" s="3" t="s">
        <v>18</v>
      </c>
      <c r="H646" s="3" t="s">
        <v>18</v>
      </c>
      <c r="I646" s="3" t="s">
        <v>151</v>
      </c>
      <c r="J646" s="3" t="s">
        <v>766</v>
      </c>
      <c r="K646" s="3" t="s">
        <v>410</v>
      </c>
      <c r="L646" s="4">
        <v>0.3263888888888889</v>
      </c>
      <c r="M646" s="3" t="s">
        <v>767</v>
      </c>
      <c r="N646" s="3" t="s">
        <v>24</v>
      </c>
      <c r="O646" s="3" t="s">
        <v>25</v>
      </c>
    </row>
    <row r="647" spans="1:15">
      <c r="A647" s="3" t="s">
        <v>15</v>
      </c>
      <c r="B647" s="3" t="str">
        <f>"FES1162740091"</f>
        <v>FES1162740091</v>
      </c>
      <c r="C647" s="3" t="s">
        <v>77</v>
      </c>
      <c r="D647" s="3">
        <v>1</v>
      </c>
      <c r="E647" s="3" t="str">
        <f>"2170731745"</f>
        <v>2170731745</v>
      </c>
      <c r="F647" s="3" t="s">
        <v>17</v>
      </c>
      <c r="G647" s="3" t="s">
        <v>18</v>
      </c>
      <c r="H647" s="3" t="s">
        <v>18</v>
      </c>
      <c r="I647" s="3" t="s">
        <v>206</v>
      </c>
      <c r="J647" s="3" t="s">
        <v>207</v>
      </c>
      <c r="K647" s="3" t="s">
        <v>410</v>
      </c>
      <c r="L647" s="4">
        <v>0.4375</v>
      </c>
      <c r="M647" s="3" t="s">
        <v>711</v>
      </c>
      <c r="N647" s="3" t="s">
        <v>24</v>
      </c>
      <c r="O647" s="3" t="s">
        <v>25</v>
      </c>
    </row>
    <row r="648" spans="1:15">
      <c r="A648" s="3" t="s">
        <v>15</v>
      </c>
      <c r="B648" s="3" t="str">
        <f>"FES1162740110"</f>
        <v>FES1162740110</v>
      </c>
      <c r="C648" s="3" t="s">
        <v>77</v>
      </c>
      <c r="D648" s="3">
        <v>1</v>
      </c>
      <c r="E648" s="3" t="str">
        <f>"2170731769"</f>
        <v>2170731769</v>
      </c>
      <c r="F648" s="3" t="s">
        <v>17</v>
      </c>
      <c r="G648" s="3" t="s">
        <v>18</v>
      </c>
      <c r="H648" s="3" t="s">
        <v>18</v>
      </c>
      <c r="I648" s="3" t="s">
        <v>168</v>
      </c>
      <c r="J648" s="3" t="s">
        <v>169</v>
      </c>
      <c r="K648" s="3" t="s">
        <v>410</v>
      </c>
      <c r="L648" s="4">
        <v>0.33680555555555558</v>
      </c>
      <c r="M648" s="3" t="s">
        <v>170</v>
      </c>
      <c r="N648" s="3" t="s">
        <v>24</v>
      </c>
      <c r="O648" s="3" t="s">
        <v>25</v>
      </c>
    </row>
    <row r="649" spans="1:15">
      <c r="A649" s="3" t="s">
        <v>15</v>
      </c>
      <c r="B649" s="3" t="str">
        <f>"FES1162740111"</f>
        <v>FES1162740111</v>
      </c>
      <c r="C649" s="3" t="s">
        <v>77</v>
      </c>
      <c r="D649" s="3">
        <v>1</v>
      </c>
      <c r="E649" s="3" t="str">
        <f>"2170729792"</f>
        <v>2170729792</v>
      </c>
      <c r="F649" s="3" t="s">
        <v>17</v>
      </c>
      <c r="G649" s="3" t="s">
        <v>18</v>
      </c>
      <c r="H649" s="3" t="s">
        <v>36</v>
      </c>
      <c r="I649" s="3" t="s">
        <v>330</v>
      </c>
      <c r="J649" s="3" t="s">
        <v>331</v>
      </c>
      <c r="K649" s="3" t="s">
        <v>410</v>
      </c>
      <c r="L649" s="4">
        <v>0.50972222222222219</v>
      </c>
      <c r="M649" s="3" t="s">
        <v>332</v>
      </c>
      <c r="N649" s="3" t="s">
        <v>24</v>
      </c>
      <c r="O649" s="3" t="s">
        <v>25</v>
      </c>
    </row>
    <row r="650" spans="1:15">
      <c r="A650" s="3" t="s">
        <v>15</v>
      </c>
      <c r="B650" s="3" t="str">
        <f>"FES1162740098"</f>
        <v>FES1162740098</v>
      </c>
      <c r="C650" s="3" t="s">
        <v>77</v>
      </c>
      <c r="D650" s="3">
        <v>1</v>
      </c>
      <c r="E650" s="3" t="str">
        <f>"2170731756"</f>
        <v>2170731756</v>
      </c>
      <c r="F650" s="3" t="s">
        <v>17</v>
      </c>
      <c r="G650" s="3" t="s">
        <v>18</v>
      </c>
      <c r="H650" s="3" t="s">
        <v>18</v>
      </c>
      <c r="I650" s="3" t="s">
        <v>171</v>
      </c>
      <c r="J650" s="3" t="s">
        <v>189</v>
      </c>
      <c r="K650" s="3" t="s">
        <v>410</v>
      </c>
      <c r="L650" s="4">
        <v>0.35486111111111113</v>
      </c>
      <c r="M650" s="3" t="s">
        <v>412</v>
      </c>
      <c r="N650" s="3" t="s">
        <v>24</v>
      </c>
      <c r="O650" s="3" t="s">
        <v>25</v>
      </c>
    </row>
    <row r="651" spans="1:15">
      <c r="A651" s="3" t="s">
        <v>15</v>
      </c>
      <c r="B651" s="3" t="str">
        <f>"FES1162740079"</f>
        <v>FES1162740079</v>
      </c>
      <c r="C651" s="3" t="s">
        <v>77</v>
      </c>
      <c r="D651" s="3">
        <v>0</v>
      </c>
      <c r="E651" s="3" t="str">
        <f>"2170731733"</f>
        <v>2170731733</v>
      </c>
      <c r="F651" s="3" t="s">
        <v>17</v>
      </c>
      <c r="G651" s="3" t="s">
        <v>18</v>
      </c>
      <c r="H651" s="3" t="s">
        <v>18</v>
      </c>
      <c r="I651" s="3" t="s">
        <v>33</v>
      </c>
      <c r="J651" s="3" t="s">
        <v>559</v>
      </c>
      <c r="K651" s="3" t="s">
        <v>410</v>
      </c>
      <c r="L651" s="4">
        <v>0.57777777777777783</v>
      </c>
      <c r="M651" s="3" t="s">
        <v>768</v>
      </c>
      <c r="N651" s="3" t="s">
        <v>24</v>
      </c>
      <c r="O651" s="3" t="s">
        <v>25</v>
      </c>
    </row>
    <row r="652" spans="1:15">
      <c r="A652" s="3" t="s">
        <v>15</v>
      </c>
      <c r="B652" s="3" t="str">
        <f>"FES1162740104"</f>
        <v>FES1162740104</v>
      </c>
      <c r="C652" s="3" t="s">
        <v>77</v>
      </c>
      <c r="D652" s="3">
        <v>0</v>
      </c>
      <c r="E652" s="3" t="str">
        <f>"2170731761"</f>
        <v>2170731761</v>
      </c>
      <c r="F652" s="3" t="s">
        <v>17</v>
      </c>
      <c r="G652" s="3" t="s">
        <v>18</v>
      </c>
      <c r="H652" s="3" t="s">
        <v>18</v>
      </c>
      <c r="I652" s="3" t="s">
        <v>171</v>
      </c>
      <c r="J652" s="3" t="s">
        <v>197</v>
      </c>
      <c r="K652" s="3" t="s">
        <v>410</v>
      </c>
      <c r="L652" s="4">
        <v>0.33333333333333331</v>
      </c>
      <c r="M652" s="3" t="s">
        <v>182</v>
      </c>
      <c r="N652" s="3" t="s">
        <v>24</v>
      </c>
      <c r="O652" s="3" t="s">
        <v>25</v>
      </c>
    </row>
    <row r="653" spans="1:15">
      <c r="A653" s="3" t="s">
        <v>15</v>
      </c>
      <c r="B653" s="3" t="str">
        <f>"FES1162740078"</f>
        <v>FES1162740078</v>
      </c>
      <c r="C653" s="3" t="s">
        <v>77</v>
      </c>
      <c r="D653" s="3">
        <v>1</v>
      </c>
      <c r="E653" s="3" t="str">
        <f>"2170731"</f>
        <v>2170731</v>
      </c>
      <c r="F653" s="3" t="s">
        <v>17</v>
      </c>
      <c r="G653" s="3" t="s">
        <v>18</v>
      </c>
      <c r="H653" s="3" t="s">
        <v>70</v>
      </c>
      <c r="I653" s="3" t="s">
        <v>71</v>
      </c>
      <c r="J653" s="3" t="s">
        <v>243</v>
      </c>
      <c r="K653" s="3" t="s">
        <v>410</v>
      </c>
      <c r="L653" s="4">
        <v>0.39999999999999997</v>
      </c>
      <c r="M653" s="3" t="s">
        <v>531</v>
      </c>
      <c r="N653" s="3" t="s">
        <v>24</v>
      </c>
      <c r="O653" s="3" t="s">
        <v>25</v>
      </c>
    </row>
    <row r="654" spans="1:15">
      <c r="A654" s="3" t="s">
        <v>15</v>
      </c>
      <c r="B654" s="3" t="str">
        <f>"FES1162740117"</f>
        <v>FES1162740117</v>
      </c>
      <c r="C654" s="3" t="s">
        <v>77</v>
      </c>
      <c r="D654" s="3">
        <v>0</v>
      </c>
      <c r="E654" s="3" t="str">
        <f>"2170731775"</f>
        <v>2170731775</v>
      </c>
      <c r="F654" s="3" t="s">
        <v>17</v>
      </c>
      <c r="G654" s="3" t="s">
        <v>18</v>
      </c>
      <c r="H654" s="3" t="s">
        <v>18</v>
      </c>
      <c r="I654" s="3" t="s">
        <v>151</v>
      </c>
      <c r="J654" s="3" t="s">
        <v>152</v>
      </c>
      <c r="K654" s="3" t="s">
        <v>410</v>
      </c>
      <c r="L654" s="4">
        <v>0.37708333333333338</v>
      </c>
      <c r="M654" s="3" t="s">
        <v>769</v>
      </c>
      <c r="N654" s="3" t="s">
        <v>24</v>
      </c>
      <c r="O654" s="3" t="s">
        <v>25</v>
      </c>
    </row>
    <row r="655" spans="1:15">
      <c r="A655" s="3" t="s">
        <v>15</v>
      </c>
      <c r="B655" s="3" t="str">
        <f>"FES1162740118"</f>
        <v>FES1162740118</v>
      </c>
      <c r="C655" s="3" t="s">
        <v>77</v>
      </c>
      <c r="D655" s="3">
        <v>0</v>
      </c>
      <c r="E655" s="3" t="str">
        <f>"2170731777"</f>
        <v>2170731777</v>
      </c>
      <c r="F655" s="3" t="s">
        <v>17</v>
      </c>
      <c r="G655" s="3" t="s">
        <v>18</v>
      </c>
      <c r="H655" s="3" t="s">
        <v>18</v>
      </c>
      <c r="I655" s="3" t="s">
        <v>180</v>
      </c>
      <c r="J655" s="3" t="s">
        <v>770</v>
      </c>
      <c r="K655" s="3" t="s">
        <v>410</v>
      </c>
      <c r="L655" s="4">
        <v>0.33333333333333331</v>
      </c>
      <c r="M655" s="3" t="s">
        <v>182</v>
      </c>
      <c r="N655" s="3" t="s">
        <v>24</v>
      </c>
      <c r="O655" s="3" t="s">
        <v>25</v>
      </c>
    </row>
    <row r="656" spans="1:15">
      <c r="A656" s="3" t="s">
        <v>15</v>
      </c>
      <c r="B656" s="3" t="str">
        <f>"FES1162740115"</f>
        <v>FES1162740115</v>
      </c>
      <c r="C656" s="3" t="s">
        <v>77</v>
      </c>
      <c r="D656" s="3">
        <v>0</v>
      </c>
      <c r="E656" s="3" t="str">
        <f>"2170731772"</f>
        <v>2170731772</v>
      </c>
      <c r="F656" s="3" t="s">
        <v>17</v>
      </c>
      <c r="G656" s="3" t="s">
        <v>18</v>
      </c>
      <c r="H656" s="3" t="s">
        <v>18</v>
      </c>
      <c r="I656" s="3" t="s">
        <v>151</v>
      </c>
      <c r="J656" s="3" t="s">
        <v>771</v>
      </c>
      <c r="K656" s="3" t="s">
        <v>410</v>
      </c>
      <c r="L656" s="4">
        <v>0.34027777777777773</v>
      </c>
      <c r="M656" s="3" t="s">
        <v>772</v>
      </c>
      <c r="N656" s="3" t="s">
        <v>24</v>
      </c>
      <c r="O656" s="3" t="s">
        <v>25</v>
      </c>
    </row>
    <row r="657" spans="1:15">
      <c r="A657" s="3" t="s">
        <v>15</v>
      </c>
      <c r="B657" s="3" t="str">
        <f>"FES1162740108"</f>
        <v>FES1162740108</v>
      </c>
      <c r="C657" s="3" t="s">
        <v>77</v>
      </c>
      <c r="D657" s="3">
        <v>0</v>
      </c>
      <c r="E657" s="3" t="str">
        <f>"2170730182"</f>
        <v>2170730182</v>
      </c>
      <c r="F657" s="3" t="s">
        <v>17</v>
      </c>
      <c r="G657" s="3" t="s">
        <v>18</v>
      </c>
      <c r="H657" s="3" t="s">
        <v>18</v>
      </c>
      <c r="I657" s="3" t="s">
        <v>33</v>
      </c>
      <c r="J657" s="3" t="s">
        <v>773</v>
      </c>
      <c r="K657" s="3" t="s">
        <v>410</v>
      </c>
      <c r="L657" s="4">
        <v>0.43055555555555558</v>
      </c>
      <c r="M657" s="3" t="s">
        <v>774</v>
      </c>
      <c r="N657" s="3" t="s">
        <v>24</v>
      </c>
      <c r="O657" s="3" t="s">
        <v>25</v>
      </c>
    </row>
    <row r="658" spans="1:15">
      <c r="A658" s="3" t="s">
        <v>15</v>
      </c>
      <c r="B658" s="3" t="str">
        <f>"FES1162740114"</f>
        <v>FES1162740114</v>
      </c>
      <c r="C658" s="3" t="s">
        <v>77</v>
      </c>
      <c r="D658" s="3">
        <v>0</v>
      </c>
      <c r="E658" s="3" t="str">
        <f>"2170731771"</f>
        <v>2170731771</v>
      </c>
      <c r="F658" s="3" t="s">
        <v>17</v>
      </c>
      <c r="G658" s="3" t="s">
        <v>18</v>
      </c>
      <c r="H658" s="3" t="s">
        <v>18</v>
      </c>
      <c r="I658" s="3" t="s">
        <v>33</v>
      </c>
      <c r="J658" s="3" t="s">
        <v>775</v>
      </c>
      <c r="K658" s="3" t="s">
        <v>410</v>
      </c>
      <c r="L658" s="4">
        <v>0.375</v>
      </c>
      <c r="M658" s="3" t="s">
        <v>776</v>
      </c>
      <c r="N658" s="3" t="s">
        <v>24</v>
      </c>
      <c r="O658" s="3" t="s">
        <v>25</v>
      </c>
    </row>
    <row r="659" spans="1:15">
      <c r="A659" s="3" t="s">
        <v>15</v>
      </c>
      <c r="B659" s="3" t="str">
        <f>"FES1162740127"</f>
        <v>FES1162740127</v>
      </c>
      <c r="C659" s="3" t="s">
        <v>77</v>
      </c>
      <c r="D659" s="3">
        <v>0</v>
      </c>
      <c r="E659" s="3" t="str">
        <f>"2170730188"</f>
        <v>2170730188</v>
      </c>
      <c r="F659" s="3" t="s">
        <v>17</v>
      </c>
      <c r="G659" s="3" t="s">
        <v>18</v>
      </c>
      <c r="H659" s="3" t="s">
        <v>100</v>
      </c>
      <c r="I659" s="3" t="s">
        <v>101</v>
      </c>
      <c r="J659" s="3" t="s">
        <v>129</v>
      </c>
      <c r="K659" s="3" t="s">
        <v>410</v>
      </c>
      <c r="L659" s="4">
        <v>0.35625000000000001</v>
      </c>
      <c r="M659" s="3" t="s">
        <v>130</v>
      </c>
      <c r="N659" s="3" t="s">
        <v>24</v>
      </c>
      <c r="O659" s="3" t="s">
        <v>25</v>
      </c>
    </row>
    <row r="660" spans="1:15">
      <c r="A660" s="3" t="s">
        <v>15</v>
      </c>
      <c r="B660" s="3" t="str">
        <f>"FES1162740096"</f>
        <v>FES1162740096</v>
      </c>
      <c r="C660" s="3" t="s">
        <v>77</v>
      </c>
      <c r="D660" s="3">
        <v>0</v>
      </c>
      <c r="E660" s="3" t="str">
        <f>"2170731752"</f>
        <v>2170731752</v>
      </c>
      <c r="F660" s="3" t="s">
        <v>17</v>
      </c>
      <c r="G660" s="3" t="s">
        <v>18</v>
      </c>
      <c r="H660" s="3" t="s">
        <v>18</v>
      </c>
      <c r="I660" s="3" t="s">
        <v>341</v>
      </c>
      <c r="J660" s="3" t="s">
        <v>278</v>
      </c>
      <c r="K660" s="3" t="s">
        <v>410</v>
      </c>
      <c r="L660" s="4">
        <v>0.38194444444444442</v>
      </c>
      <c r="M660" s="3" t="s">
        <v>749</v>
      </c>
      <c r="N660" s="3" t="s">
        <v>24</v>
      </c>
      <c r="O660" s="3" t="s">
        <v>25</v>
      </c>
    </row>
    <row r="661" spans="1:15">
      <c r="A661" s="3" t="s">
        <v>15</v>
      </c>
      <c r="B661" s="3" t="str">
        <f>"009939849520"</f>
        <v>009939849520</v>
      </c>
      <c r="C661" s="3" t="s">
        <v>77</v>
      </c>
      <c r="D661" s="3">
        <v>1</v>
      </c>
      <c r="E661" s="3" t="str">
        <f>"FES1162739572"</f>
        <v>FES1162739572</v>
      </c>
      <c r="F661" s="3" t="s">
        <v>214</v>
      </c>
      <c r="G661" s="3" t="s">
        <v>18</v>
      </c>
      <c r="H661" s="3" t="s">
        <v>18</v>
      </c>
      <c r="I661" s="3" t="s">
        <v>29</v>
      </c>
      <c r="J661" s="3" t="s">
        <v>529</v>
      </c>
      <c r="K661" s="3" t="s">
        <v>410</v>
      </c>
      <c r="L661" s="4">
        <v>0.37638888888888888</v>
      </c>
      <c r="M661" s="3" t="s">
        <v>777</v>
      </c>
      <c r="N661" s="3" t="s">
        <v>24</v>
      </c>
      <c r="O661" s="3" t="s">
        <v>25</v>
      </c>
    </row>
    <row r="662" spans="1:15">
      <c r="A662" s="3" t="s">
        <v>15</v>
      </c>
      <c r="B662" s="3" t="str">
        <f>"FES1162740092"</f>
        <v>FES1162740092</v>
      </c>
      <c r="C662" s="3" t="s">
        <v>410</v>
      </c>
      <c r="D662" s="3">
        <v>1</v>
      </c>
      <c r="E662" s="3" t="str">
        <f>"2170731746"</f>
        <v>2170731746</v>
      </c>
      <c r="F662" s="3" t="s">
        <v>17</v>
      </c>
      <c r="G662" s="3" t="s">
        <v>18</v>
      </c>
      <c r="H662" s="3" t="s">
        <v>19</v>
      </c>
      <c r="I662" s="3" t="s">
        <v>20</v>
      </c>
      <c r="J662" s="3" t="s">
        <v>104</v>
      </c>
      <c r="K662" s="3" t="s">
        <v>778</v>
      </c>
      <c r="L662" s="4">
        <v>0.4236111111111111</v>
      </c>
      <c r="M662" s="3" t="s">
        <v>105</v>
      </c>
      <c r="N662" s="3" t="s">
        <v>24</v>
      </c>
      <c r="O662" s="3" t="s">
        <v>25</v>
      </c>
    </row>
    <row r="663" spans="1:15">
      <c r="A663" s="3" t="s">
        <v>15</v>
      </c>
      <c r="B663" s="3" t="str">
        <f>"FES1162740132"</f>
        <v>FES1162740132</v>
      </c>
      <c r="C663" s="3" t="s">
        <v>410</v>
      </c>
      <c r="D663" s="3">
        <v>1</v>
      </c>
      <c r="E663" s="3" t="str">
        <f>"2170731732"</f>
        <v>2170731732</v>
      </c>
      <c r="F663" s="3" t="s">
        <v>17</v>
      </c>
      <c r="G663" s="3" t="s">
        <v>18</v>
      </c>
      <c r="H663" s="3" t="s">
        <v>70</v>
      </c>
      <c r="I663" s="3" t="s">
        <v>71</v>
      </c>
      <c r="J663" s="3" t="s">
        <v>243</v>
      </c>
      <c r="K663" s="3" t="s">
        <v>778</v>
      </c>
      <c r="L663" s="4">
        <v>0.38194444444444442</v>
      </c>
      <c r="M663" s="3" t="s">
        <v>779</v>
      </c>
      <c r="N663" s="3" t="s">
        <v>24</v>
      </c>
      <c r="O663" s="3" t="s">
        <v>25</v>
      </c>
    </row>
    <row r="664" spans="1:15">
      <c r="A664" s="3" t="s">
        <v>15</v>
      </c>
      <c r="B664" s="3" t="str">
        <f>"FES1162738061"</f>
        <v>FES1162738061</v>
      </c>
      <c r="C664" s="3" t="s">
        <v>410</v>
      </c>
      <c r="D664" s="3">
        <v>1</v>
      </c>
      <c r="E664" s="3" t="str">
        <f>"2170730037"</f>
        <v>2170730037</v>
      </c>
      <c r="F664" s="3" t="s">
        <v>17</v>
      </c>
      <c r="G664" s="3" t="s">
        <v>18</v>
      </c>
      <c r="H664" s="3" t="s">
        <v>19</v>
      </c>
      <c r="I664" s="3" t="s">
        <v>20</v>
      </c>
      <c r="J664" s="3" t="s">
        <v>780</v>
      </c>
      <c r="K664" s="3" t="s">
        <v>778</v>
      </c>
      <c r="L664" s="4">
        <v>0.37291666666666662</v>
      </c>
      <c r="M664" s="3" t="s">
        <v>781</v>
      </c>
      <c r="N664" s="3" t="s">
        <v>24</v>
      </c>
      <c r="O664" s="3" t="s">
        <v>25</v>
      </c>
    </row>
    <row r="665" spans="1:15">
      <c r="A665" s="3" t="s">
        <v>15</v>
      </c>
      <c r="B665" s="3" t="str">
        <f>"FES1162740219"</f>
        <v>FES1162740219</v>
      </c>
      <c r="C665" s="3" t="s">
        <v>410</v>
      </c>
      <c r="D665" s="3">
        <v>1</v>
      </c>
      <c r="E665" s="3" t="str">
        <f>"2170731803"</f>
        <v>2170731803</v>
      </c>
      <c r="F665" s="3" t="s">
        <v>17</v>
      </c>
      <c r="G665" s="3" t="s">
        <v>18</v>
      </c>
      <c r="H665" s="3" t="s">
        <v>70</v>
      </c>
      <c r="I665" s="3" t="s">
        <v>71</v>
      </c>
      <c r="J665" s="3" t="s">
        <v>392</v>
      </c>
      <c r="K665" s="3" t="s">
        <v>778</v>
      </c>
      <c r="L665" s="4">
        <v>0.59791666666666665</v>
      </c>
      <c r="M665" s="3" t="s">
        <v>782</v>
      </c>
      <c r="N665" s="3" t="s">
        <v>24</v>
      </c>
      <c r="O665" s="3" t="s">
        <v>25</v>
      </c>
    </row>
    <row r="666" spans="1:15">
      <c r="A666" s="3" t="s">
        <v>15</v>
      </c>
      <c r="B666" s="3" t="str">
        <f>"FES1162740144"</f>
        <v>FES1162740144</v>
      </c>
      <c r="C666" s="3" t="s">
        <v>410</v>
      </c>
      <c r="D666" s="3">
        <v>1</v>
      </c>
      <c r="E666" s="3" t="str">
        <f>"2170729190"</f>
        <v>2170729190</v>
      </c>
      <c r="F666" s="3" t="s">
        <v>17</v>
      </c>
      <c r="G666" s="3" t="s">
        <v>18</v>
      </c>
      <c r="H666" s="3" t="s">
        <v>19</v>
      </c>
      <c r="I666" s="3" t="s">
        <v>51</v>
      </c>
      <c r="J666" s="3" t="s">
        <v>706</v>
      </c>
      <c r="K666" s="3" t="s">
        <v>778</v>
      </c>
      <c r="L666" s="4">
        <v>0.35902777777777778</v>
      </c>
      <c r="M666" s="3" t="s">
        <v>783</v>
      </c>
      <c r="N666" s="3" t="s">
        <v>24</v>
      </c>
      <c r="O666" s="3" t="s">
        <v>25</v>
      </c>
    </row>
    <row r="667" spans="1:15">
      <c r="A667" s="3" t="s">
        <v>15</v>
      </c>
      <c r="B667" s="3" t="str">
        <f>"FES1162740272"</f>
        <v>FES1162740272</v>
      </c>
      <c r="C667" s="3" t="s">
        <v>410</v>
      </c>
      <c r="D667" s="3">
        <v>1</v>
      </c>
      <c r="E667" s="3" t="str">
        <f>"2170728220"</f>
        <v>2170728220</v>
      </c>
      <c r="F667" s="3" t="s">
        <v>17</v>
      </c>
      <c r="G667" s="3" t="s">
        <v>18</v>
      </c>
      <c r="H667" s="3" t="s">
        <v>100</v>
      </c>
      <c r="I667" s="3" t="s">
        <v>117</v>
      </c>
      <c r="J667" s="3" t="s">
        <v>784</v>
      </c>
      <c r="K667" s="3" t="s">
        <v>778</v>
      </c>
      <c r="L667" s="4">
        <v>0.50902777777777775</v>
      </c>
      <c r="M667" s="3" t="s">
        <v>785</v>
      </c>
      <c r="N667" s="3" t="s">
        <v>24</v>
      </c>
      <c r="O667" s="3" t="s">
        <v>25</v>
      </c>
    </row>
    <row r="668" spans="1:15">
      <c r="A668" s="3" t="s">
        <v>15</v>
      </c>
      <c r="B668" s="3" t="str">
        <f>"FES1162740208"</f>
        <v>FES1162740208</v>
      </c>
      <c r="C668" s="3" t="s">
        <v>410</v>
      </c>
      <c r="D668" s="3">
        <v>1</v>
      </c>
      <c r="E668" s="3" t="str">
        <f>"2170731197"</f>
        <v>2170731197</v>
      </c>
      <c r="F668" s="3" t="s">
        <v>17</v>
      </c>
      <c r="G668" s="3" t="s">
        <v>18</v>
      </c>
      <c r="H668" s="3" t="s">
        <v>66</v>
      </c>
      <c r="I668" s="3" t="s">
        <v>67</v>
      </c>
      <c r="J668" s="3" t="s">
        <v>278</v>
      </c>
      <c r="K668" s="3" t="s">
        <v>778</v>
      </c>
      <c r="L668" s="4">
        <v>0.36805555555555558</v>
      </c>
      <c r="M668" s="3" t="s">
        <v>786</v>
      </c>
      <c r="N668" s="3" t="s">
        <v>24</v>
      </c>
      <c r="O668" s="3" t="s">
        <v>25</v>
      </c>
    </row>
    <row r="669" spans="1:15">
      <c r="A669" s="3" t="s">
        <v>15</v>
      </c>
      <c r="B669" s="3" t="str">
        <f>"FES1162740250"</f>
        <v>FES1162740250</v>
      </c>
      <c r="C669" s="3" t="s">
        <v>410</v>
      </c>
      <c r="D669" s="3">
        <v>1</v>
      </c>
      <c r="E669" s="3" t="str">
        <f>"2170731838"</f>
        <v>2170731838</v>
      </c>
      <c r="F669" s="3" t="s">
        <v>17</v>
      </c>
      <c r="G669" s="3" t="s">
        <v>18</v>
      </c>
      <c r="H669" s="3" t="s">
        <v>46</v>
      </c>
      <c r="I669" s="3" t="s">
        <v>47</v>
      </c>
      <c r="J669" s="3" t="s">
        <v>497</v>
      </c>
      <c r="K669" s="3" t="s">
        <v>778</v>
      </c>
      <c r="L669" s="4">
        <v>0.40416666666666662</v>
      </c>
      <c r="M669" s="3" t="s">
        <v>498</v>
      </c>
      <c r="N669" s="3" t="s">
        <v>24</v>
      </c>
      <c r="O669" s="3" t="s">
        <v>25</v>
      </c>
    </row>
    <row r="670" spans="1:15">
      <c r="A670" s="3" t="s">
        <v>15</v>
      </c>
      <c r="B670" s="3" t="str">
        <f>"FES1162740207"</f>
        <v>FES1162740207</v>
      </c>
      <c r="C670" s="3" t="s">
        <v>410</v>
      </c>
      <c r="D670" s="3">
        <v>1</v>
      </c>
      <c r="E670" s="3" t="str">
        <f>"2170730784"</f>
        <v>2170730784</v>
      </c>
      <c r="F670" s="3" t="s">
        <v>17</v>
      </c>
      <c r="G670" s="3" t="s">
        <v>18</v>
      </c>
      <c r="H670" s="3" t="s">
        <v>66</v>
      </c>
      <c r="I670" s="3" t="s">
        <v>67</v>
      </c>
      <c r="J670" s="3" t="s">
        <v>287</v>
      </c>
      <c r="K670" s="3" t="s">
        <v>778</v>
      </c>
      <c r="L670" s="4">
        <v>0.35486111111111113</v>
      </c>
      <c r="M670" s="3" t="s">
        <v>787</v>
      </c>
      <c r="N670" s="3" t="s">
        <v>24</v>
      </c>
      <c r="O670" s="3" t="s">
        <v>25</v>
      </c>
    </row>
    <row r="671" spans="1:15">
      <c r="A671" s="3" t="s">
        <v>15</v>
      </c>
      <c r="B671" s="3" t="str">
        <f>"FES1162740225"</f>
        <v>FES1162740225</v>
      </c>
      <c r="C671" s="3" t="s">
        <v>410</v>
      </c>
      <c r="D671" s="3">
        <v>1</v>
      </c>
      <c r="E671" s="3" t="str">
        <f>"2170731807"</f>
        <v>2170731807</v>
      </c>
      <c r="F671" s="3" t="s">
        <v>17</v>
      </c>
      <c r="G671" s="3" t="s">
        <v>18</v>
      </c>
      <c r="H671" s="3" t="s">
        <v>66</v>
      </c>
      <c r="I671" s="3" t="s">
        <v>177</v>
      </c>
      <c r="J671" s="3" t="s">
        <v>178</v>
      </c>
      <c r="K671" s="3" t="s">
        <v>778</v>
      </c>
      <c r="L671" s="4">
        <v>0.40972222222222227</v>
      </c>
      <c r="M671" s="3" t="s">
        <v>179</v>
      </c>
      <c r="N671" s="3" t="s">
        <v>24</v>
      </c>
      <c r="O671" s="3" t="s">
        <v>25</v>
      </c>
    </row>
    <row r="672" spans="1:15">
      <c r="A672" s="3" t="s">
        <v>15</v>
      </c>
      <c r="B672" s="3" t="str">
        <f>"FES1162740146"</f>
        <v>FES1162740146</v>
      </c>
      <c r="C672" s="3" t="s">
        <v>410</v>
      </c>
      <c r="D672" s="3">
        <v>1</v>
      </c>
      <c r="E672" s="3" t="str">
        <f>"2170729211"</f>
        <v>2170729211</v>
      </c>
      <c r="F672" s="3" t="s">
        <v>17</v>
      </c>
      <c r="G672" s="3" t="s">
        <v>18</v>
      </c>
      <c r="H672" s="3" t="s">
        <v>66</v>
      </c>
      <c r="I672" s="3" t="s">
        <v>67</v>
      </c>
      <c r="J672" s="3" t="s">
        <v>68</v>
      </c>
      <c r="K672" s="3" t="s">
        <v>778</v>
      </c>
      <c r="L672" s="4">
        <v>0.39583333333333331</v>
      </c>
      <c r="M672" s="3" t="s">
        <v>502</v>
      </c>
      <c r="N672" s="3" t="s">
        <v>24</v>
      </c>
      <c r="O672" s="3" t="s">
        <v>25</v>
      </c>
    </row>
    <row r="673" spans="1:15">
      <c r="A673" s="3" t="s">
        <v>15</v>
      </c>
      <c r="B673" s="3" t="str">
        <f>"FES1162740185"</f>
        <v>FES1162740185</v>
      </c>
      <c r="C673" s="3" t="s">
        <v>410</v>
      </c>
      <c r="D673" s="3">
        <v>1</v>
      </c>
      <c r="E673" s="3" t="str">
        <f>"217030347"</f>
        <v>217030347</v>
      </c>
      <c r="F673" s="3" t="s">
        <v>17</v>
      </c>
      <c r="G673" s="3" t="s">
        <v>18</v>
      </c>
      <c r="H673" s="3" t="s">
        <v>36</v>
      </c>
      <c r="I673" s="3" t="s">
        <v>37</v>
      </c>
      <c r="J673" s="3" t="s">
        <v>260</v>
      </c>
      <c r="K673" s="3" t="s">
        <v>778</v>
      </c>
      <c r="L673" s="4">
        <v>0.37361111111111112</v>
      </c>
      <c r="M673" s="3" t="s">
        <v>788</v>
      </c>
      <c r="N673" s="3" t="s">
        <v>24</v>
      </c>
      <c r="O673" s="3" t="s">
        <v>25</v>
      </c>
    </row>
    <row r="674" spans="1:15">
      <c r="A674" s="3" t="s">
        <v>15</v>
      </c>
      <c r="B674" s="3" t="str">
        <f>"FES1162740236"</f>
        <v>FES1162740236</v>
      </c>
      <c r="C674" s="3" t="s">
        <v>410</v>
      </c>
      <c r="D674" s="3">
        <v>1</v>
      </c>
      <c r="E674" s="3" t="str">
        <f>"2170731822"</f>
        <v>2170731822</v>
      </c>
      <c r="F674" s="3" t="s">
        <v>17</v>
      </c>
      <c r="G674" s="3" t="s">
        <v>18</v>
      </c>
      <c r="H674" s="3" t="s">
        <v>100</v>
      </c>
      <c r="I674" s="3" t="s">
        <v>101</v>
      </c>
      <c r="J674" s="3" t="s">
        <v>789</v>
      </c>
      <c r="K674" s="3" t="s">
        <v>778</v>
      </c>
      <c r="L674" s="4">
        <v>0.41666666666666669</v>
      </c>
      <c r="M674" s="3" t="s">
        <v>486</v>
      </c>
      <c r="N674" s="3" t="s">
        <v>24</v>
      </c>
      <c r="O674" s="3" t="s">
        <v>25</v>
      </c>
    </row>
    <row r="675" spans="1:15">
      <c r="A675" s="3" t="s">
        <v>15</v>
      </c>
      <c r="B675" s="3" t="str">
        <f>"FES1162740275"</f>
        <v>FES1162740275</v>
      </c>
      <c r="C675" s="3" t="s">
        <v>410</v>
      </c>
      <c r="D675" s="3">
        <v>1</v>
      </c>
      <c r="E675" s="3" t="str">
        <f>"2170730497"</f>
        <v>2170730497</v>
      </c>
      <c r="F675" s="3" t="s">
        <v>17</v>
      </c>
      <c r="G675" s="3" t="s">
        <v>18</v>
      </c>
      <c r="H675" s="3" t="s">
        <v>100</v>
      </c>
      <c r="I675" s="3" t="s">
        <v>117</v>
      </c>
      <c r="J675" s="3" t="s">
        <v>784</v>
      </c>
      <c r="K675" s="3" t="s">
        <v>778</v>
      </c>
      <c r="L675" s="4">
        <v>0.50902777777777775</v>
      </c>
      <c r="M675" s="3" t="s">
        <v>785</v>
      </c>
      <c r="N675" s="3" t="s">
        <v>24</v>
      </c>
      <c r="O675" s="3" t="s">
        <v>25</v>
      </c>
    </row>
    <row r="676" spans="1:15">
      <c r="A676" s="3" t="s">
        <v>15</v>
      </c>
      <c r="B676" s="3" t="str">
        <f>"FES1162740180"</f>
        <v>FES1162740180</v>
      </c>
      <c r="C676" s="3" t="s">
        <v>410</v>
      </c>
      <c r="D676" s="3">
        <v>1</v>
      </c>
      <c r="E676" s="3" t="str">
        <f>"2170730286"</f>
        <v>2170730286</v>
      </c>
      <c r="F676" s="3" t="s">
        <v>17</v>
      </c>
      <c r="G676" s="3" t="s">
        <v>18</v>
      </c>
      <c r="H676" s="3" t="s">
        <v>19</v>
      </c>
      <c r="I676" s="3" t="s">
        <v>20</v>
      </c>
      <c r="J676" s="3" t="s">
        <v>294</v>
      </c>
      <c r="K676" s="3" t="s">
        <v>778</v>
      </c>
      <c r="L676" s="4">
        <v>0.43333333333333335</v>
      </c>
      <c r="M676" s="3" t="s">
        <v>790</v>
      </c>
      <c r="N676" s="3" t="s">
        <v>24</v>
      </c>
      <c r="O676" s="3" t="s">
        <v>25</v>
      </c>
    </row>
    <row r="677" spans="1:15">
      <c r="A677" s="3" t="s">
        <v>15</v>
      </c>
      <c r="B677" s="3" t="str">
        <f>"FES1162740178"</f>
        <v>FES1162740178</v>
      </c>
      <c r="C677" s="3" t="s">
        <v>410</v>
      </c>
      <c r="D677" s="3">
        <v>1</v>
      </c>
      <c r="E677" s="3" t="str">
        <f>"2170730253"</f>
        <v>2170730253</v>
      </c>
      <c r="F677" s="3" t="s">
        <v>17</v>
      </c>
      <c r="G677" s="3" t="s">
        <v>18</v>
      </c>
      <c r="H677" s="3" t="s">
        <v>19</v>
      </c>
      <c r="I677" s="3" t="s">
        <v>20</v>
      </c>
      <c r="J677" s="3" t="s">
        <v>294</v>
      </c>
      <c r="K677" s="3" t="s">
        <v>778</v>
      </c>
      <c r="L677" s="4">
        <v>0.43333333333333335</v>
      </c>
      <c r="M677" s="3" t="s">
        <v>790</v>
      </c>
      <c r="N677" s="3" t="s">
        <v>24</v>
      </c>
      <c r="O677" s="3" t="s">
        <v>25</v>
      </c>
    </row>
    <row r="678" spans="1:15">
      <c r="A678" s="3" t="s">
        <v>15</v>
      </c>
      <c r="B678" s="3" t="str">
        <f>"FES1162740240"</f>
        <v>FES1162740240</v>
      </c>
      <c r="C678" s="3" t="s">
        <v>410</v>
      </c>
      <c r="D678" s="3">
        <v>1</v>
      </c>
      <c r="E678" s="3" t="str">
        <f>"2170731827"</f>
        <v>2170731827</v>
      </c>
      <c r="F678" s="3" t="s">
        <v>17</v>
      </c>
      <c r="G678" s="3" t="s">
        <v>18</v>
      </c>
      <c r="H678" s="3" t="s">
        <v>66</v>
      </c>
      <c r="I678" s="3" t="s">
        <v>158</v>
      </c>
      <c r="J678" s="3" t="s">
        <v>541</v>
      </c>
      <c r="K678" s="3" t="s">
        <v>778</v>
      </c>
      <c r="L678" s="4">
        <v>0.68194444444444446</v>
      </c>
      <c r="M678" s="3" t="s">
        <v>791</v>
      </c>
      <c r="N678" s="3" t="s">
        <v>24</v>
      </c>
      <c r="O678" s="3" t="s">
        <v>25</v>
      </c>
    </row>
    <row r="679" spans="1:15">
      <c r="A679" s="3" t="s">
        <v>15</v>
      </c>
      <c r="B679" s="3" t="str">
        <f>"FES1162740241"</f>
        <v>FES1162740241</v>
      </c>
      <c r="C679" s="3" t="s">
        <v>410</v>
      </c>
      <c r="D679" s="3">
        <v>1</v>
      </c>
      <c r="E679" s="3" t="str">
        <f>"2170731829"</f>
        <v>2170731829</v>
      </c>
      <c r="F679" s="3" t="s">
        <v>17</v>
      </c>
      <c r="G679" s="3" t="s">
        <v>18</v>
      </c>
      <c r="H679" s="3" t="s">
        <v>100</v>
      </c>
      <c r="I679" s="3" t="s">
        <v>101</v>
      </c>
      <c r="J679" s="3" t="s">
        <v>653</v>
      </c>
      <c r="K679" s="3" t="s">
        <v>778</v>
      </c>
      <c r="L679" s="4">
        <v>0.3756944444444445</v>
      </c>
      <c r="M679" s="3" t="s">
        <v>792</v>
      </c>
      <c r="N679" s="3" t="s">
        <v>24</v>
      </c>
      <c r="O679" s="3" t="s">
        <v>25</v>
      </c>
    </row>
    <row r="680" spans="1:15">
      <c r="A680" s="3" t="s">
        <v>15</v>
      </c>
      <c r="B680" s="3" t="str">
        <f>"FES1162740257"</f>
        <v>FES1162740257</v>
      </c>
      <c r="C680" s="3" t="s">
        <v>410</v>
      </c>
      <c r="D680" s="3">
        <v>1</v>
      </c>
      <c r="E680" s="3" t="str">
        <f>"2170731846"</f>
        <v>2170731846</v>
      </c>
      <c r="F680" s="3" t="s">
        <v>17</v>
      </c>
      <c r="G680" s="3" t="s">
        <v>18</v>
      </c>
      <c r="H680" s="3" t="s">
        <v>100</v>
      </c>
      <c r="I680" s="3" t="s">
        <v>101</v>
      </c>
      <c r="J680" s="3" t="s">
        <v>125</v>
      </c>
      <c r="K680" s="3" t="s">
        <v>778</v>
      </c>
      <c r="L680" s="4">
        <v>0.29652777777777778</v>
      </c>
      <c r="M680" s="3" t="s">
        <v>126</v>
      </c>
      <c r="N680" s="3" t="s">
        <v>24</v>
      </c>
      <c r="O680" s="3" t="s">
        <v>25</v>
      </c>
    </row>
    <row r="681" spans="1:15">
      <c r="A681" s="3" t="s">
        <v>15</v>
      </c>
      <c r="B681" s="3" t="str">
        <f>"009939640354"</f>
        <v>009939640354</v>
      </c>
      <c r="C681" s="3" t="s">
        <v>410</v>
      </c>
      <c r="D681" s="3">
        <v>2</v>
      </c>
      <c r="E681" s="3" t="str">
        <f>""</f>
        <v/>
      </c>
      <c r="F681" s="3" t="s">
        <v>528</v>
      </c>
      <c r="G681" s="3" t="s">
        <v>36</v>
      </c>
      <c r="H681" s="3" t="s">
        <v>36</v>
      </c>
      <c r="I681" s="3" t="s">
        <v>37</v>
      </c>
      <c r="J681" s="3" t="s">
        <v>793</v>
      </c>
      <c r="K681" s="3" t="s">
        <v>778</v>
      </c>
      <c r="L681" s="4">
        <v>0.61111111111111105</v>
      </c>
      <c r="M681" s="3" t="s">
        <v>794</v>
      </c>
      <c r="N681" s="3" t="s">
        <v>24</v>
      </c>
      <c r="O681" s="3" t="s">
        <v>25</v>
      </c>
    </row>
    <row r="682" spans="1:15">
      <c r="A682" s="3" t="s">
        <v>15</v>
      </c>
      <c r="B682" s="3" t="str">
        <f>"FES1162740277"</f>
        <v>FES1162740277</v>
      </c>
      <c r="C682" s="3" t="s">
        <v>410</v>
      </c>
      <c r="D682" s="3">
        <v>1</v>
      </c>
      <c r="E682" s="3" t="str">
        <f>"2170730877"</f>
        <v>2170730877</v>
      </c>
      <c r="F682" s="3" t="s">
        <v>17</v>
      </c>
      <c r="G682" s="3" t="s">
        <v>18</v>
      </c>
      <c r="H682" s="3" t="s">
        <v>100</v>
      </c>
      <c r="I682" s="3" t="s">
        <v>117</v>
      </c>
      <c r="J682" s="3" t="s">
        <v>784</v>
      </c>
      <c r="K682" s="3" t="s">
        <v>778</v>
      </c>
      <c r="L682" s="4">
        <v>0.50902777777777775</v>
      </c>
      <c r="M682" s="3" t="s">
        <v>785</v>
      </c>
      <c r="N682" s="3" t="s">
        <v>24</v>
      </c>
      <c r="O682" s="3" t="s">
        <v>25</v>
      </c>
    </row>
    <row r="683" spans="1:15">
      <c r="A683" s="3" t="s">
        <v>15</v>
      </c>
      <c r="B683" s="3" t="str">
        <f>"FES1162740229"</f>
        <v>FES1162740229</v>
      </c>
      <c r="C683" s="3" t="s">
        <v>410</v>
      </c>
      <c r="D683" s="3">
        <v>1</v>
      </c>
      <c r="E683" s="3" t="str">
        <f>"2170731815"</f>
        <v>2170731815</v>
      </c>
      <c r="F683" s="3" t="s">
        <v>17</v>
      </c>
      <c r="G683" s="3" t="s">
        <v>18</v>
      </c>
      <c r="H683" s="3" t="s">
        <v>100</v>
      </c>
      <c r="I683" s="3" t="s">
        <v>101</v>
      </c>
      <c r="J683" s="3" t="s">
        <v>131</v>
      </c>
      <c r="K683" s="3" t="s">
        <v>778</v>
      </c>
      <c r="L683" s="4">
        <v>0.35486111111111113</v>
      </c>
      <c r="M683" s="3" t="s">
        <v>795</v>
      </c>
      <c r="N683" s="3" t="s">
        <v>24</v>
      </c>
      <c r="O683" s="3" t="s">
        <v>25</v>
      </c>
    </row>
    <row r="684" spans="1:15">
      <c r="A684" s="3" t="s">
        <v>15</v>
      </c>
      <c r="B684" s="3" t="str">
        <f>"FES1162740089"</f>
        <v>FES1162740089</v>
      </c>
      <c r="C684" s="3" t="s">
        <v>410</v>
      </c>
      <c r="D684" s="3">
        <v>1</v>
      </c>
      <c r="E684" s="3" t="str">
        <f>"2170731563"</f>
        <v>2170731563</v>
      </c>
      <c r="F684" s="3" t="s">
        <v>17</v>
      </c>
      <c r="G684" s="3" t="s">
        <v>18</v>
      </c>
      <c r="H684" s="3" t="s">
        <v>19</v>
      </c>
      <c r="I684" s="3" t="s">
        <v>703</v>
      </c>
      <c r="J684" s="3" t="s">
        <v>704</v>
      </c>
      <c r="K684" s="3" t="s">
        <v>778</v>
      </c>
      <c r="L684" s="4">
        <v>0.51666666666666672</v>
      </c>
      <c r="M684" s="3" t="s">
        <v>796</v>
      </c>
      <c r="N684" s="3" t="s">
        <v>24</v>
      </c>
      <c r="O684" s="3" t="s">
        <v>25</v>
      </c>
    </row>
    <row r="685" spans="1:15">
      <c r="A685" s="3" t="s">
        <v>15</v>
      </c>
      <c r="B685" s="3" t="str">
        <f>"FES1162740281"</f>
        <v>FES1162740281</v>
      </c>
      <c r="C685" s="3" t="s">
        <v>410</v>
      </c>
      <c r="D685" s="3">
        <v>1</v>
      </c>
      <c r="E685" s="3" t="str">
        <f>"2170731875"</f>
        <v>2170731875</v>
      </c>
      <c r="F685" s="3" t="s">
        <v>17</v>
      </c>
      <c r="G685" s="3" t="s">
        <v>18</v>
      </c>
      <c r="H685" s="3" t="s">
        <v>66</v>
      </c>
      <c r="I685" s="3" t="s">
        <v>67</v>
      </c>
      <c r="J685" s="3" t="s">
        <v>298</v>
      </c>
      <c r="K685" s="3" t="s">
        <v>778</v>
      </c>
      <c r="L685" s="4">
        <v>0.36458333333333331</v>
      </c>
      <c r="M685" s="3" t="s">
        <v>299</v>
      </c>
      <c r="N685" s="3" t="s">
        <v>24</v>
      </c>
      <c r="O685" s="3" t="s">
        <v>25</v>
      </c>
    </row>
    <row r="686" spans="1:15">
      <c r="A686" s="3" t="s">
        <v>15</v>
      </c>
      <c r="B686" s="3" t="str">
        <f>"FES1162740285"</f>
        <v>FES1162740285</v>
      </c>
      <c r="C686" s="3" t="s">
        <v>410</v>
      </c>
      <c r="D686" s="3">
        <v>1</v>
      </c>
      <c r="E686" s="3" t="str">
        <f>"2170731789"</f>
        <v>2170731789</v>
      </c>
      <c r="F686" s="3" t="s">
        <v>17</v>
      </c>
      <c r="G686" s="3" t="s">
        <v>18</v>
      </c>
      <c r="H686" s="3" t="s">
        <v>18</v>
      </c>
      <c r="I686" s="3" t="s">
        <v>291</v>
      </c>
      <c r="J686" s="3" t="s">
        <v>797</v>
      </c>
      <c r="K686" s="3" t="s">
        <v>778</v>
      </c>
      <c r="L686" s="4">
        <v>0.40347222222222223</v>
      </c>
      <c r="M686" s="3" t="s">
        <v>798</v>
      </c>
      <c r="N686" s="3" t="s">
        <v>24</v>
      </c>
      <c r="O686" s="3" t="s">
        <v>25</v>
      </c>
    </row>
    <row r="687" spans="1:15">
      <c r="A687" s="3" t="s">
        <v>15</v>
      </c>
      <c r="B687" s="3" t="str">
        <f>"FES1162740242"</f>
        <v>FES1162740242</v>
      </c>
      <c r="C687" s="3" t="s">
        <v>410</v>
      </c>
      <c r="D687" s="3">
        <v>1</v>
      </c>
      <c r="E687" s="3" t="str">
        <f>"2170731830"</f>
        <v>2170731830</v>
      </c>
      <c r="F687" s="3" t="s">
        <v>17</v>
      </c>
      <c r="G687" s="3" t="s">
        <v>18</v>
      </c>
      <c r="H687" s="3" t="s">
        <v>18</v>
      </c>
      <c r="I687" s="3" t="s">
        <v>33</v>
      </c>
      <c r="J687" s="3" t="s">
        <v>799</v>
      </c>
      <c r="K687" s="3" t="s">
        <v>778</v>
      </c>
      <c r="L687" s="4">
        <v>0.375</v>
      </c>
      <c r="M687" s="3" t="s">
        <v>800</v>
      </c>
      <c r="N687" s="3" t="s">
        <v>24</v>
      </c>
      <c r="O687" s="3" t="s">
        <v>25</v>
      </c>
    </row>
    <row r="688" spans="1:15">
      <c r="A688" s="3" t="s">
        <v>15</v>
      </c>
      <c r="B688" s="3" t="str">
        <f>"FES1162740267"</f>
        <v>FES1162740267</v>
      </c>
      <c r="C688" s="3" t="s">
        <v>410</v>
      </c>
      <c r="D688" s="3">
        <v>1</v>
      </c>
      <c r="E688" s="3" t="str">
        <f>"2170731859"</f>
        <v>2170731859</v>
      </c>
      <c r="F688" s="3" t="s">
        <v>17</v>
      </c>
      <c r="G688" s="3" t="s">
        <v>18</v>
      </c>
      <c r="H688" s="3" t="s">
        <v>36</v>
      </c>
      <c r="I688" s="3" t="s">
        <v>37</v>
      </c>
      <c r="J688" s="3" t="s">
        <v>801</v>
      </c>
      <c r="K688" s="3" t="s">
        <v>778</v>
      </c>
      <c r="L688" s="4">
        <v>0.38194444444444442</v>
      </c>
      <c r="M688" s="3" t="s">
        <v>802</v>
      </c>
      <c r="N688" s="3" t="s">
        <v>24</v>
      </c>
      <c r="O688" s="3" t="s">
        <v>25</v>
      </c>
    </row>
    <row r="689" spans="1:15">
      <c r="A689" s="3" t="s">
        <v>15</v>
      </c>
      <c r="B689" s="3" t="str">
        <f>"FES1162740271"</f>
        <v>FES1162740271</v>
      </c>
      <c r="C689" s="3" t="s">
        <v>410</v>
      </c>
      <c r="D689" s="3">
        <v>1</v>
      </c>
      <c r="E689" s="3" t="str">
        <f>"2170726906"</f>
        <v>2170726906</v>
      </c>
      <c r="F689" s="3" t="s">
        <v>17</v>
      </c>
      <c r="G689" s="3" t="s">
        <v>18</v>
      </c>
      <c r="H689" s="3" t="s">
        <v>100</v>
      </c>
      <c r="I689" s="3" t="s">
        <v>117</v>
      </c>
      <c r="J689" s="3" t="s">
        <v>784</v>
      </c>
      <c r="K689" s="3" t="s">
        <v>778</v>
      </c>
      <c r="L689" s="4">
        <v>0.50902777777777775</v>
      </c>
      <c r="M689" s="3" t="s">
        <v>785</v>
      </c>
      <c r="N689" s="3" t="s">
        <v>24</v>
      </c>
      <c r="O689" s="3" t="s">
        <v>25</v>
      </c>
    </row>
    <row r="690" spans="1:15">
      <c r="A690" s="3" t="s">
        <v>15</v>
      </c>
      <c r="B690" s="3" t="str">
        <f>"FES1162740231"</f>
        <v>FES1162740231</v>
      </c>
      <c r="C690" s="3" t="s">
        <v>410</v>
      </c>
      <c r="D690" s="3">
        <v>1</v>
      </c>
      <c r="E690" s="3" t="str">
        <f>"2170731817"</f>
        <v>2170731817</v>
      </c>
      <c r="F690" s="3" t="s">
        <v>17</v>
      </c>
      <c r="G690" s="3" t="s">
        <v>18</v>
      </c>
      <c r="H690" s="3" t="s">
        <v>66</v>
      </c>
      <c r="I690" s="3" t="s">
        <v>158</v>
      </c>
      <c r="J690" s="3" t="s">
        <v>541</v>
      </c>
      <c r="K690" s="3" t="s">
        <v>778</v>
      </c>
      <c r="L690" s="4">
        <v>0.68194444444444446</v>
      </c>
      <c r="M690" s="3" t="s">
        <v>791</v>
      </c>
      <c r="N690" s="3" t="s">
        <v>24</v>
      </c>
      <c r="O690" s="3" t="s">
        <v>25</v>
      </c>
    </row>
    <row r="691" spans="1:15">
      <c r="A691" s="3" t="s">
        <v>15</v>
      </c>
      <c r="B691" s="3" t="str">
        <f>"FES1162740268"</f>
        <v>FES1162740268</v>
      </c>
      <c r="C691" s="3" t="s">
        <v>410</v>
      </c>
      <c r="D691" s="3">
        <v>1</v>
      </c>
      <c r="E691" s="3" t="str">
        <f>"2170731865"</f>
        <v>2170731865</v>
      </c>
      <c r="F691" s="3" t="s">
        <v>17</v>
      </c>
      <c r="G691" s="3" t="s">
        <v>18</v>
      </c>
      <c r="H691" s="3" t="s">
        <v>100</v>
      </c>
      <c r="I691" s="3" t="s">
        <v>101</v>
      </c>
      <c r="J691" s="3" t="s">
        <v>137</v>
      </c>
      <c r="K691" s="3" t="s">
        <v>778</v>
      </c>
      <c r="L691" s="4">
        <v>0.41666666666666669</v>
      </c>
      <c r="M691" s="3" t="s">
        <v>371</v>
      </c>
      <c r="N691" s="3" t="s">
        <v>24</v>
      </c>
      <c r="O691" s="3" t="s">
        <v>25</v>
      </c>
    </row>
    <row r="692" spans="1:15">
      <c r="A692" s="3" t="s">
        <v>15</v>
      </c>
      <c r="B692" s="3" t="str">
        <f>"FES1162740151"</f>
        <v>FES1162740151</v>
      </c>
      <c r="C692" s="3" t="s">
        <v>410</v>
      </c>
      <c r="D692" s="3">
        <v>1</v>
      </c>
      <c r="E692" s="3" t="str">
        <f>"2170729962"</f>
        <v>2170729962</v>
      </c>
      <c r="F692" s="3" t="s">
        <v>17</v>
      </c>
      <c r="G692" s="3" t="s">
        <v>18</v>
      </c>
      <c r="H692" s="3" t="s">
        <v>66</v>
      </c>
      <c r="I692" s="3" t="s">
        <v>67</v>
      </c>
      <c r="J692" s="3" t="s">
        <v>166</v>
      </c>
      <c r="K692" s="3" t="s">
        <v>778</v>
      </c>
      <c r="L692" s="4">
        <v>0.3354166666666667</v>
      </c>
      <c r="M692" s="3" t="s">
        <v>803</v>
      </c>
      <c r="N692" s="3" t="s">
        <v>24</v>
      </c>
      <c r="O692" s="3" t="s">
        <v>25</v>
      </c>
    </row>
    <row r="693" spans="1:15">
      <c r="A693" s="3" t="s">
        <v>15</v>
      </c>
      <c r="B693" s="3" t="str">
        <f>"FES1162740247"</f>
        <v>FES1162740247</v>
      </c>
      <c r="C693" s="3" t="s">
        <v>410</v>
      </c>
      <c r="D693" s="3">
        <v>1</v>
      </c>
      <c r="E693" s="3" t="str">
        <f>"2170731834"</f>
        <v>2170731834</v>
      </c>
      <c r="F693" s="3" t="s">
        <v>17</v>
      </c>
      <c r="G693" s="3" t="s">
        <v>18</v>
      </c>
      <c r="H693" s="3" t="s">
        <v>66</v>
      </c>
      <c r="I693" s="3" t="s">
        <v>67</v>
      </c>
      <c r="J693" s="3" t="s">
        <v>804</v>
      </c>
      <c r="K693" s="3" t="s">
        <v>778</v>
      </c>
      <c r="L693" s="4">
        <v>0.44444444444444442</v>
      </c>
      <c r="M693" s="3" t="s">
        <v>805</v>
      </c>
      <c r="N693" s="3" t="s">
        <v>24</v>
      </c>
      <c r="O693" s="3" t="s">
        <v>25</v>
      </c>
    </row>
    <row r="694" spans="1:15">
      <c r="A694" s="3" t="s">
        <v>15</v>
      </c>
      <c r="B694" s="3" t="str">
        <f>"FES1162740273"</f>
        <v>FES1162740273</v>
      </c>
      <c r="C694" s="3" t="s">
        <v>410</v>
      </c>
      <c r="D694" s="3">
        <v>1</v>
      </c>
      <c r="E694" s="3" t="str">
        <f>"2170728256"</f>
        <v>2170728256</v>
      </c>
      <c r="F694" s="3" t="s">
        <v>17</v>
      </c>
      <c r="G694" s="3" t="s">
        <v>18</v>
      </c>
      <c r="H694" s="3" t="s">
        <v>100</v>
      </c>
      <c r="I694" s="3" t="s">
        <v>117</v>
      </c>
      <c r="J694" s="3" t="s">
        <v>784</v>
      </c>
      <c r="K694" s="3" t="s">
        <v>778</v>
      </c>
      <c r="L694" s="4">
        <v>0.50902777777777775</v>
      </c>
      <c r="M694" s="3" t="s">
        <v>785</v>
      </c>
      <c r="N694" s="3" t="s">
        <v>24</v>
      </c>
      <c r="O694" s="3" t="s">
        <v>25</v>
      </c>
    </row>
    <row r="695" spans="1:15">
      <c r="A695" s="3" t="s">
        <v>15</v>
      </c>
      <c r="B695" s="3" t="str">
        <f>"FES1162740270"</f>
        <v>FES1162740270</v>
      </c>
      <c r="C695" s="3" t="s">
        <v>410</v>
      </c>
      <c r="D695" s="3">
        <v>1</v>
      </c>
      <c r="E695" s="3" t="str">
        <f>"2170726822"</f>
        <v>2170726822</v>
      </c>
      <c r="F695" s="3" t="s">
        <v>17</v>
      </c>
      <c r="G695" s="3" t="s">
        <v>18</v>
      </c>
      <c r="H695" s="3" t="s">
        <v>100</v>
      </c>
      <c r="I695" s="3" t="s">
        <v>117</v>
      </c>
      <c r="J695" s="3" t="s">
        <v>784</v>
      </c>
      <c r="K695" s="3" t="s">
        <v>778</v>
      </c>
      <c r="L695" s="4">
        <v>0.50902777777777775</v>
      </c>
      <c r="M695" s="3" t="s">
        <v>785</v>
      </c>
      <c r="N695" s="3" t="s">
        <v>24</v>
      </c>
      <c r="O695" s="3" t="s">
        <v>25</v>
      </c>
    </row>
    <row r="696" spans="1:15">
      <c r="A696" s="3" t="s">
        <v>15</v>
      </c>
      <c r="B696" s="3" t="str">
        <f>"FES1162740294"</f>
        <v>FES1162740294</v>
      </c>
      <c r="C696" s="3" t="s">
        <v>410</v>
      </c>
      <c r="D696" s="3">
        <v>1</v>
      </c>
      <c r="E696" s="3" t="str">
        <f>"2170731890"</f>
        <v>2170731890</v>
      </c>
      <c r="F696" s="3" t="s">
        <v>17</v>
      </c>
      <c r="G696" s="3" t="s">
        <v>18</v>
      </c>
      <c r="H696" s="3" t="s">
        <v>18</v>
      </c>
      <c r="I696" s="3" t="s">
        <v>222</v>
      </c>
      <c r="J696" s="3" t="s">
        <v>397</v>
      </c>
      <c r="K696" s="3" t="s">
        <v>778</v>
      </c>
      <c r="L696" s="4">
        <v>0.34027777777777773</v>
      </c>
      <c r="M696" s="3" t="s">
        <v>806</v>
      </c>
      <c r="N696" s="3" t="s">
        <v>24</v>
      </c>
      <c r="O696" s="3" t="s">
        <v>25</v>
      </c>
    </row>
    <row r="697" spans="1:15">
      <c r="A697" s="3" t="s">
        <v>15</v>
      </c>
      <c r="B697" s="3" t="str">
        <f>"FES1162740255"</f>
        <v>FES1162740255</v>
      </c>
      <c r="C697" s="3" t="s">
        <v>410</v>
      </c>
      <c r="D697" s="3">
        <v>1</v>
      </c>
      <c r="E697" s="3" t="str">
        <f>"2170731884"</f>
        <v>2170731884</v>
      </c>
      <c r="F697" s="3" t="s">
        <v>17</v>
      </c>
      <c r="G697" s="3" t="s">
        <v>18</v>
      </c>
      <c r="H697" s="3" t="s">
        <v>18</v>
      </c>
      <c r="I697" s="3" t="s">
        <v>33</v>
      </c>
      <c r="J697" s="3" t="s">
        <v>807</v>
      </c>
      <c r="K697" s="3" t="s">
        <v>778</v>
      </c>
      <c r="L697" s="4">
        <v>0.375</v>
      </c>
      <c r="M697" s="3" t="s">
        <v>730</v>
      </c>
      <c r="N697" s="3" t="s">
        <v>24</v>
      </c>
      <c r="O697" s="3" t="s">
        <v>25</v>
      </c>
    </row>
    <row r="698" spans="1:15">
      <c r="A698" s="3" t="s">
        <v>15</v>
      </c>
      <c r="B698" s="3" t="str">
        <f>"FES1162740190"</f>
        <v>FES1162740190</v>
      </c>
      <c r="C698" s="3" t="s">
        <v>410</v>
      </c>
      <c r="D698" s="3">
        <v>1</v>
      </c>
      <c r="E698" s="3" t="str">
        <f>"2170730394"</f>
        <v>2170730394</v>
      </c>
      <c r="F698" s="3" t="s">
        <v>17</v>
      </c>
      <c r="G698" s="3" t="s">
        <v>18</v>
      </c>
      <c r="H698" s="3" t="s">
        <v>18</v>
      </c>
      <c r="I698" s="3" t="s">
        <v>171</v>
      </c>
      <c r="J698" s="3" t="s">
        <v>353</v>
      </c>
      <c r="K698" s="3" t="s">
        <v>778</v>
      </c>
      <c r="L698" s="4">
        <v>0.29375000000000001</v>
      </c>
      <c r="M698" s="3" t="s">
        <v>354</v>
      </c>
      <c r="N698" s="3" t="s">
        <v>24</v>
      </c>
      <c r="O698" s="3" t="s">
        <v>25</v>
      </c>
    </row>
    <row r="699" spans="1:15">
      <c r="A699" s="3" t="s">
        <v>15</v>
      </c>
      <c r="B699" s="3" t="str">
        <f>"FES116274218"</f>
        <v>FES116274218</v>
      </c>
      <c r="C699" s="3" t="s">
        <v>410</v>
      </c>
      <c r="D699" s="3">
        <v>1</v>
      </c>
      <c r="E699" s="3" t="str">
        <f>"2170731802"</f>
        <v>2170731802</v>
      </c>
      <c r="F699" s="3" t="s">
        <v>17</v>
      </c>
      <c r="G699" s="3" t="s">
        <v>18</v>
      </c>
      <c r="H699" s="3" t="s">
        <v>18</v>
      </c>
      <c r="I699" s="3" t="s">
        <v>151</v>
      </c>
      <c r="J699" s="3" t="s">
        <v>808</v>
      </c>
      <c r="K699" s="3" t="s">
        <v>778</v>
      </c>
      <c r="L699" s="4">
        <v>0.42777777777777781</v>
      </c>
      <c r="M699" s="3" t="s">
        <v>809</v>
      </c>
      <c r="N699" s="3" t="s">
        <v>24</v>
      </c>
      <c r="O699" s="3" t="s">
        <v>25</v>
      </c>
    </row>
    <row r="700" spans="1:15">
      <c r="A700" s="3" t="s">
        <v>15</v>
      </c>
      <c r="B700" s="3" t="str">
        <f>"FES1162740125"</f>
        <v>FES1162740125</v>
      </c>
      <c r="C700" s="3" t="s">
        <v>410</v>
      </c>
      <c r="D700" s="3">
        <v>1</v>
      </c>
      <c r="E700" s="3" t="str">
        <f>"2170731781"</f>
        <v>2170731781</v>
      </c>
      <c r="F700" s="3" t="s">
        <v>17</v>
      </c>
      <c r="G700" s="3" t="s">
        <v>18</v>
      </c>
      <c r="H700" s="3" t="s">
        <v>18</v>
      </c>
      <c r="I700" s="3" t="s">
        <v>341</v>
      </c>
      <c r="J700" s="3" t="s">
        <v>810</v>
      </c>
      <c r="K700" s="3" t="s">
        <v>778</v>
      </c>
      <c r="L700" s="4">
        <v>0.3659722222222222</v>
      </c>
      <c r="M700" s="3" t="s">
        <v>811</v>
      </c>
      <c r="N700" s="3" t="s">
        <v>24</v>
      </c>
      <c r="O700" s="3" t="s">
        <v>25</v>
      </c>
    </row>
    <row r="701" spans="1:15">
      <c r="A701" s="3" t="s">
        <v>15</v>
      </c>
      <c r="B701" s="3" t="str">
        <f>"FES1162740121"</f>
        <v>FES1162740121</v>
      </c>
      <c r="C701" s="3" t="s">
        <v>410</v>
      </c>
      <c r="D701" s="3">
        <v>1</v>
      </c>
      <c r="E701" s="3" t="str">
        <f>"2170730501"</f>
        <v>2170730501</v>
      </c>
      <c r="F701" s="3" t="s">
        <v>17</v>
      </c>
      <c r="G701" s="3" t="s">
        <v>18</v>
      </c>
      <c r="H701" s="3" t="s">
        <v>18</v>
      </c>
      <c r="I701" s="3" t="s">
        <v>171</v>
      </c>
      <c r="J701" s="3" t="s">
        <v>599</v>
      </c>
      <c r="K701" s="3" t="s">
        <v>778</v>
      </c>
      <c r="L701" s="4">
        <v>0.29791666666666666</v>
      </c>
      <c r="M701" s="3" t="s">
        <v>182</v>
      </c>
      <c r="N701" s="3" t="s">
        <v>24</v>
      </c>
      <c r="O701" s="3" t="s">
        <v>25</v>
      </c>
    </row>
    <row r="702" spans="1:15">
      <c r="A702" s="3" t="s">
        <v>15</v>
      </c>
      <c r="B702" s="3" t="str">
        <f>"FES1162740129"</f>
        <v>FES1162740129</v>
      </c>
      <c r="C702" s="3" t="s">
        <v>410</v>
      </c>
      <c r="D702" s="3">
        <v>1</v>
      </c>
      <c r="E702" s="3" t="str">
        <f>"2170731783"</f>
        <v>2170731783</v>
      </c>
      <c r="F702" s="3" t="s">
        <v>17</v>
      </c>
      <c r="G702" s="3" t="s">
        <v>18</v>
      </c>
      <c r="H702" s="3" t="s">
        <v>18</v>
      </c>
      <c r="I702" s="3" t="s">
        <v>309</v>
      </c>
      <c r="J702" s="3" t="s">
        <v>812</v>
      </c>
      <c r="K702" s="3" t="s">
        <v>778</v>
      </c>
      <c r="L702" s="4">
        <v>0.37986111111111115</v>
      </c>
      <c r="M702" s="3" t="s">
        <v>813</v>
      </c>
      <c r="N702" s="3" t="s">
        <v>24</v>
      </c>
      <c r="O702" s="3" t="s">
        <v>25</v>
      </c>
    </row>
    <row r="703" spans="1:15">
      <c r="A703" s="3" t="s">
        <v>15</v>
      </c>
      <c r="B703" s="3" t="str">
        <f>"FES1162740123"</f>
        <v>FES1162740123</v>
      </c>
      <c r="C703" s="3" t="s">
        <v>410</v>
      </c>
      <c r="D703" s="3">
        <v>1</v>
      </c>
      <c r="E703" s="3" t="str">
        <f>"2170731779"</f>
        <v>2170731779</v>
      </c>
      <c r="F703" s="3" t="s">
        <v>17</v>
      </c>
      <c r="G703" s="3" t="s">
        <v>18</v>
      </c>
      <c r="H703" s="3" t="s">
        <v>18</v>
      </c>
      <c r="I703" s="3" t="s">
        <v>453</v>
      </c>
      <c r="J703" s="3" t="s">
        <v>395</v>
      </c>
      <c r="K703" s="3" t="s">
        <v>778</v>
      </c>
      <c r="L703" s="4">
        <v>0.33333333333333331</v>
      </c>
      <c r="M703" s="3" t="s">
        <v>814</v>
      </c>
      <c r="N703" s="3" t="s">
        <v>24</v>
      </c>
      <c r="O703" s="3" t="s">
        <v>25</v>
      </c>
    </row>
    <row r="704" spans="1:15">
      <c r="A704" s="3" t="s">
        <v>15</v>
      </c>
      <c r="B704" s="3" t="str">
        <f>"FES1162740134"</f>
        <v>FES1162740134</v>
      </c>
      <c r="C704" s="3" t="s">
        <v>410</v>
      </c>
      <c r="D704" s="3">
        <v>1</v>
      </c>
      <c r="E704" s="3" t="str">
        <f>"2170731786"</f>
        <v>2170731786</v>
      </c>
      <c r="F704" s="3" t="s">
        <v>17</v>
      </c>
      <c r="G704" s="3" t="s">
        <v>18</v>
      </c>
      <c r="H704" s="3" t="s">
        <v>18</v>
      </c>
      <c r="I704" s="3" t="s">
        <v>309</v>
      </c>
      <c r="J704" s="3" t="s">
        <v>278</v>
      </c>
      <c r="K704" s="3" t="s">
        <v>778</v>
      </c>
      <c r="L704" s="4">
        <v>0.375</v>
      </c>
      <c r="M704" s="3" t="s">
        <v>815</v>
      </c>
      <c r="N704" s="3" t="s">
        <v>24</v>
      </c>
      <c r="O704" s="3" t="s">
        <v>25</v>
      </c>
    </row>
    <row r="705" spans="1:15">
      <c r="A705" s="3" t="s">
        <v>15</v>
      </c>
      <c r="B705" s="3" t="str">
        <f>"FES1162740165"</f>
        <v>FES1162740165</v>
      </c>
      <c r="C705" s="3" t="s">
        <v>410</v>
      </c>
      <c r="D705" s="3">
        <v>1</v>
      </c>
      <c r="E705" s="3" t="str">
        <f>"2170730169"</f>
        <v>2170730169</v>
      </c>
      <c r="F705" s="3" t="s">
        <v>17</v>
      </c>
      <c r="G705" s="3" t="s">
        <v>18</v>
      </c>
      <c r="H705" s="3" t="s">
        <v>18</v>
      </c>
      <c r="I705" s="3" t="s">
        <v>291</v>
      </c>
      <c r="J705" s="3" t="s">
        <v>816</v>
      </c>
      <c r="K705" s="3" t="s">
        <v>778</v>
      </c>
      <c r="L705" s="4">
        <v>0.33333333333333331</v>
      </c>
      <c r="M705" s="3" t="s">
        <v>817</v>
      </c>
      <c r="N705" s="3" t="s">
        <v>24</v>
      </c>
      <c r="O705" s="3" t="s">
        <v>25</v>
      </c>
    </row>
    <row r="706" spans="1:15">
      <c r="A706" s="3" t="s">
        <v>15</v>
      </c>
      <c r="B706" s="3" t="str">
        <f>"FES1162740213"</f>
        <v>FES1162740213</v>
      </c>
      <c r="C706" s="3" t="s">
        <v>410</v>
      </c>
      <c r="D706" s="3">
        <v>1</v>
      </c>
      <c r="E706" s="3" t="str">
        <f>"2170731703"</f>
        <v>2170731703</v>
      </c>
      <c r="F706" s="3" t="s">
        <v>17</v>
      </c>
      <c r="G706" s="3" t="s">
        <v>18</v>
      </c>
      <c r="H706" s="3" t="s">
        <v>100</v>
      </c>
      <c r="I706" s="3" t="s">
        <v>262</v>
      </c>
      <c r="J706" s="3" t="s">
        <v>409</v>
      </c>
      <c r="K706" s="3" t="s">
        <v>363</v>
      </c>
      <c r="L706" s="4">
        <v>0.41597222222222219</v>
      </c>
      <c r="M706" s="3" t="s">
        <v>818</v>
      </c>
      <c r="N706" s="3" t="s">
        <v>24</v>
      </c>
      <c r="O706" s="3" t="s">
        <v>25</v>
      </c>
    </row>
    <row r="707" spans="1:15">
      <c r="A707" s="3" t="s">
        <v>15</v>
      </c>
      <c r="B707" s="3" t="str">
        <f>"FES1162740173"</f>
        <v>FES1162740173</v>
      </c>
      <c r="C707" s="3" t="s">
        <v>410</v>
      </c>
      <c r="D707" s="3">
        <v>1</v>
      </c>
      <c r="E707" s="3" t="str">
        <f>"2170730210"</f>
        <v>2170730210</v>
      </c>
      <c r="F707" s="3" t="s">
        <v>17</v>
      </c>
      <c r="G707" s="3" t="s">
        <v>18</v>
      </c>
      <c r="H707" s="3" t="s">
        <v>18</v>
      </c>
      <c r="I707" s="3" t="s">
        <v>29</v>
      </c>
      <c r="J707" s="3" t="s">
        <v>307</v>
      </c>
      <c r="K707" s="3" t="s">
        <v>778</v>
      </c>
      <c r="L707" s="4">
        <v>0.32500000000000001</v>
      </c>
      <c r="M707" s="3" t="s">
        <v>308</v>
      </c>
      <c r="N707" s="3" t="s">
        <v>24</v>
      </c>
      <c r="O707" s="3" t="s">
        <v>25</v>
      </c>
    </row>
    <row r="708" spans="1:15">
      <c r="A708" s="3" t="s">
        <v>15</v>
      </c>
      <c r="B708" s="3" t="str">
        <f>"FES1162740159"</f>
        <v>FES1162740159</v>
      </c>
      <c r="C708" s="3" t="s">
        <v>410</v>
      </c>
      <c r="D708" s="3">
        <v>1</v>
      </c>
      <c r="E708" s="3" t="str">
        <f>"2170730133"</f>
        <v>2170730133</v>
      </c>
      <c r="F708" s="3" t="s">
        <v>17</v>
      </c>
      <c r="G708" s="3" t="s">
        <v>18</v>
      </c>
      <c r="H708" s="3" t="s">
        <v>19</v>
      </c>
      <c r="I708" s="3" t="s">
        <v>236</v>
      </c>
      <c r="J708" s="3" t="s">
        <v>257</v>
      </c>
      <c r="K708" s="3" t="s">
        <v>778</v>
      </c>
      <c r="L708" s="4">
        <v>0.33888888888888885</v>
      </c>
      <c r="M708" s="3" t="s">
        <v>819</v>
      </c>
      <c r="N708" s="3" t="s">
        <v>24</v>
      </c>
      <c r="O708" s="3" t="s">
        <v>25</v>
      </c>
    </row>
    <row r="709" spans="1:15">
      <c r="A709" s="3" t="s">
        <v>15</v>
      </c>
      <c r="B709" s="3" t="str">
        <f>"FES1162740138"</f>
        <v>FES1162740138</v>
      </c>
      <c r="C709" s="3" t="s">
        <v>410</v>
      </c>
      <c r="D709" s="3">
        <v>1</v>
      </c>
      <c r="E709" s="3" t="str">
        <f>"2170725615"</f>
        <v>2170725615</v>
      </c>
      <c r="F709" s="3" t="s">
        <v>17</v>
      </c>
      <c r="G709" s="3" t="s">
        <v>18</v>
      </c>
      <c r="H709" s="3" t="s">
        <v>36</v>
      </c>
      <c r="I709" s="3" t="s">
        <v>37</v>
      </c>
      <c r="J709" s="3" t="s">
        <v>187</v>
      </c>
      <c r="K709" s="3" t="s">
        <v>778</v>
      </c>
      <c r="L709" s="4">
        <v>0.35416666666666669</v>
      </c>
      <c r="M709" s="3" t="s">
        <v>820</v>
      </c>
      <c r="N709" s="3" t="s">
        <v>24</v>
      </c>
      <c r="O709" s="3" t="s">
        <v>25</v>
      </c>
    </row>
    <row r="710" spans="1:15">
      <c r="A710" s="3" t="s">
        <v>15</v>
      </c>
      <c r="B710" s="3" t="str">
        <f>"FES1162740232"</f>
        <v>FES1162740232</v>
      </c>
      <c r="C710" s="3" t="s">
        <v>410</v>
      </c>
      <c r="D710" s="3">
        <v>1</v>
      </c>
      <c r="E710" s="3" t="str">
        <f>"2170731819"</f>
        <v>2170731819</v>
      </c>
      <c r="F710" s="3" t="s">
        <v>17</v>
      </c>
      <c r="G710" s="3" t="s">
        <v>18</v>
      </c>
      <c r="H710" s="3" t="s">
        <v>70</v>
      </c>
      <c r="I710" s="3" t="s">
        <v>507</v>
      </c>
      <c r="J710" s="3" t="s">
        <v>821</v>
      </c>
      <c r="K710" s="3" t="s">
        <v>778</v>
      </c>
      <c r="L710" s="4">
        <v>0.49027777777777781</v>
      </c>
      <c r="M710" s="3" t="s">
        <v>822</v>
      </c>
      <c r="N710" s="3" t="s">
        <v>24</v>
      </c>
      <c r="O710" s="3" t="s">
        <v>25</v>
      </c>
    </row>
    <row r="711" spans="1:15">
      <c r="A711" s="3" t="s">
        <v>15</v>
      </c>
      <c r="B711" s="3" t="str">
        <f>"FES1162740193"</f>
        <v>FES1162740193</v>
      </c>
      <c r="C711" s="3" t="s">
        <v>410</v>
      </c>
      <c r="D711" s="3">
        <v>1</v>
      </c>
      <c r="E711" s="3" t="str">
        <f>"2170730432"</f>
        <v>2170730432</v>
      </c>
      <c r="F711" s="3" t="s">
        <v>17</v>
      </c>
      <c r="G711" s="3" t="s">
        <v>18</v>
      </c>
      <c r="H711" s="3" t="s">
        <v>19</v>
      </c>
      <c r="I711" s="3" t="s">
        <v>20</v>
      </c>
      <c r="J711" s="3" t="s">
        <v>823</v>
      </c>
      <c r="K711" s="3" t="s">
        <v>778</v>
      </c>
      <c r="L711" s="4">
        <v>0.36527777777777781</v>
      </c>
      <c r="M711" s="3" t="s">
        <v>824</v>
      </c>
      <c r="N711" s="3" t="s">
        <v>24</v>
      </c>
      <c r="O711" s="3" t="s">
        <v>25</v>
      </c>
    </row>
    <row r="712" spans="1:15">
      <c r="A712" s="3" t="s">
        <v>15</v>
      </c>
      <c r="B712" s="3" t="str">
        <f>"FES1162740182"</f>
        <v>FES1162740182</v>
      </c>
      <c r="C712" s="3" t="s">
        <v>410</v>
      </c>
      <c r="D712" s="3">
        <v>1</v>
      </c>
      <c r="E712" s="3" t="str">
        <f>"2170730310"</f>
        <v>2170730310</v>
      </c>
      <c r="F712" s="3" t="s">
        <v>17</v>
      </c>
      <c r="G712" s="3" t="s">
        <v>18</v>
      </c>
      <c r="H712" s="3" t="s">
        <v>19</v>
      </c>
      <c r="I712" s="3" t="s">
        <v>825</v>
      </c>
      <c r="J712" s="3" t="s">
        <v>826</v>
      </c>
      <c r="K712" s="3" t="s">
        <v>778</v>
      </c>
      <c r="L712" s="4">
        <v>0.52986111111111112</v>
      </c>
      <c r="M712" s="3" t="s">
        <v>826</v>
      </c>
      <c r="N712" s="3" t="s">
        <v>24</v>
      </c>
      <c r="O712" s="3" t="s">
        <v>25</v>
      </c>
    </row>
    <row r="713" spans="1:15">
      <c r="A713" s="3" t="s">
        <v>15</v>
      </c>
      <c r="B713" s="3" t="str">
        <f>"FES1162740119"</f>
        <v>FES1162740119</v>
      </c>
      <c r="C713" s="3" t="s">
        <v>410</v>
      </c>
      <c r="D713" s="3">
        <v>1</v>
      </c>
      <c r="E713" s="3" t="str">
        <f>"2170731778"</f>
        <v>2170731778</v>
      </c>
      <c r="F713" s="3" t="s">
        <v>17</v>
      </c>
      <c r="G713" s="3" t="s">
        <v>18</v>
      </c>
      <c r="H713" s="3" t="s">
        <v>19</v>
      </c>
      <c r="I713" s="3" t="s">
        <v>51</v>
      </c>
      <c r="J713" s="3" t="s">
        <v>827</v>
      </c>
      <c r="K713" s="3" t="s">
        <v>778</v>
      </c>
      <c r="L713" s="4">
        <v>0.4055555555555555</v>
      </c>
      <c r="M713" s="3" t="s">
        <v>828</v>
      </c>
      <c r="N713" s="3" t="s">
        <v>24</v>
      </c>
      <c r="O713" s="3" t="s">
        <v>25</v>
      </c>
    </row>
    <row r="714" spans="1:15">
      <c r="A714" s="3" t="s">
        <v>15</v>
      </c>
      <c r="B714" s="3" t="str">
        <f>"FES1162740169"</f>
        <v>FES1162740169</v>
      </c>
      <c r="C714" s="3" t="s">
        <v>410</v>
      </c>
      <c r="D714" s="3">
        <v>1</v>
      </c>
      <c r="E714" s="3" t="str">
        <f>"2170730200"</f>
        <v>2170730200</v>
      </c>
      <c r="F714" s="3" t="s">
        <v>17</v>
      </c>
      <c r="G714" s="3" t="s">
        <v>18</v>
      </c>
      <c r="H714" s="3" t="s">
        <v>100</v>
      </c>
      <c r="I714" s="3" t="s">
        <v>117</v>
      </c>
      <c r="J714" s="3" t="s">
        <v>335</v>
      </c>
      <c r="K714" s="3" t="s">
        <v>778</v>
      </c>
      <c r="L714" s="4">
        <v>0.49722222222222223</v>
      </c>
      <c r="M714" s="3" t="s">
        <v>626</v>
      </c>
      <c r="N714" s="3" t="s">
        <v>24</v>
      </c>
      <c r="O714" s="3" t="s">
        <v>25</v>
      </c>
    </row>
    <row r="715" spans="1:15">
      <c r="A715" s="3" t="s">
        <v>15</v>
      </c>
      <c r="B715" s="3" t="str">
        <f>"FES1162740176"</f>
        <v>FES1162740176</v>
      </c>
      <c r="C715" s="3" t="s">
        <v>410</v>
      </c>
      <c r="D715" s="3">
        <v>1</v>
      </c>
      <c r="E715" s="3" t="str">
        <f>"2170730241"</f>
        <v>2170730241</v>
      </c>
      <c r="F715" s="3" t="s">
        <v>17</v>
      </c>
      <c r="G715" s="3" t="s">
        <v>18</v>
      </c>
      <c r="H715" s="3" t="s">
        <v>66</v>
      </c>
      <c r="I715" s="3" t="s">
        <v>67</v>
      </c>
      <c r="J715" s="3" t="s">
        <v>829</v>
      </c>
      <c r="K715" s="3" t="s">
        <v>778</v>
      </c>
      <c r="L715" s="4">
        <v>0.40138888888888885</v>
      </c>
      <c r="M715" s="3" t="s">
        <v>830</v>
      </c>
      <c r="N715" s="3" t="s">
        <v>24</v>
      </c>
      <c r="O715" s="3" t="s">
        <v>25</v>
      </c>
    </row>
    <row r="716" spans="1:15">
      <c r="A716" s="3" t="s">
        <v>15</v>
      </c>
      <c r="B716" s="3" t="str">
        <f>"FES1162740137"</f>
        <v>FES1162740137</v>
      </c>
      <c r="C716" s="3" t="s">
        <v>410</v>
      </c>
      <c r="D716" s="3">
        <v>1</v>
      </c>
      <c r="E716" s="3" t="str">
        <f>"2170731791"</f>
        <v>2170731791</v>
      </c>
      <c r="F716" s="3" t="s">
        <v>17</v>
      </c>
      <c r="G716" s="3" t="s">
        <v>18</v>
      </c>
      <c r="H716" s="3" t="s">
        <v>100</v>
      </c>
      <c r="I716" s="3" t="s">
        <v>101</v>
      </c>
      <c r="J716" s="3" t="s">
        <v>831</v>
      </c>
      <c r="K716" s="3" t="s">
        <v>778</v>
      </c>
      <c r="L716" s="4">
        <v>0.33402777777777781</v>
      </c>
      <c r="M716" s="3" t="s">
        <v>832</v>
      </c>
      <c r="N716" s="3" t="s">
        <v>24</v>
      </c>
      <c r="O716" s="3" t="s">
        <v>25</v>
      </c>
    </row>
    <row r="717" spans="1:15">
      <c r="A717" s="3" t="s">
        <v>15</v>
      </c>
      <c r="B717" s="3" t="str">
        <f>"FES1162740203"</f>
        <v>FES1162740203</v>
      </c>
      <c r="C717" s="3" t="s">
        <v>410</v>
      </c>
      <c r="D717" s="3">
        <v>1</v>
      </c>
      <c r="E717" s="3" t="str">
        <f>"2170730511"</f>
        <v>2170730511</v>
      </c>
      <c r="F717" s="3" t="s">
        <v>17</v>
      </c>
      <c r="G717" s="3" t="s">
        <v>18</v>
      </c>
      <c r="H717" s="3" t="s">
        <v>100</v>
      </c>
      <c r="I717" s="3" t="s">
        <v>101</v>
      </c>
      <c r="J717" s="3" t="s">
        <v>833</v>
      </c>
      <c r="K717" s="3" t="s">
        <v>778</v>
      </c>
      <c r="L717" s="4">
        <v>0.3833333333333333</v>
      </c>
      <c r="M717" s="3" t="s">
        <v>834</v>
      </c>
      <c r="N717" s="3" t="s">
        <v>24</v>
      </c>
      <c r="O717" s="3" t="s">
        <v>25</v>
      </c>
    </row>
    <row r="718" spans="1:15">
      <c r="A718" s="3" t="s">
        <v>15</v>
      </c>
      <c r="B718" s="3" t="str">
        <f>"FES1162740199"</f>
        <v>FES1162740199</v>
      </c>
      <c r="C718" s="3" t="s">
        <v>410</v>
      </c>
      <c r="D718" s="3">
        <v>1</v>
      </c>
      <c r="E718" s="3" t="str">
        <f>"2170730485"</f>
        <v>2170730485</v>
      </c>
      <c r="F718" s="3" t="s">
        <v>17</v>
      </c>
      <c r="G718" s="3" t="s">
        <v>18</v>
      </c>
      <c r="H718" s="3" t="s">
        <v>19</v>
      </c>
      <c r="I718" s="3" t="s">
        <v>86</v>
      </c>
      <c r="J718" s="3" t="s">
        <v>835</v>
      </c>
      <c r="K718" s="3" t="s">
        <v>363</v>
      </c>
      <c r="L718" s="4">
        <v>0.39861111111111108</v>
      </c>
      <c r="M718" s="3" t="s">
        <v>107</v>
      </c>
      <c r="N718" s="3" t="s">
        <v>24</v>
      </c>
      <c r="O718" s="3" t="s">
        <v>25</v>
      </c>
    </row>
    <row r="719" spans="1:15">
      <c r="A719" s="3" t="s">
        <v>15</v>
      </c>
      <c r="B719" s="3" t="str">
        <f>"FES1162740158"</f>
        <v>FES1162740158</v>
      </c>
      <c r="C719" s="3" t="s">
        <v>410</v>
      </c>
      <c r="D719" s="3">
        <v>1</v>
      </c>
      <c r="E719" s="3" t="str">
        <f>"2170730122"</f>
        <v>2170730122</v>
      </c>
      <c r="F719" s="3" t="s">
        <v>17</v>
      </c>
      <c r="G719" s="3" t="s">
        <v>18</v>
      </c>
      <c r="H719" s="3" t="s">
        <v>18</v>
      </c>
      <c r="I719" s="3" t="s">
        <v>171</v>
      </c>
      <c r="J719" s="3" t="s">
        <v>836</v>
      </c>
      <c r="K719" s="3" t="s">
        <v>778</v>
      </c>
      <c r="L719" s="4">
        <v>0.4375</v>
      </c>
      <c r="M719" s="3" t="s">
        <v>837</v>
      </c>
      <c r="N719" s="3" t="s">
        <v>24</v>
      </c>
      <c r="O719" s="3" t="s">
        <v>25</v>
      </c>
    </row>
    <row r="720" spans="1:15">
      <c r="A720" s="3" t="s">
        <v>15</v>
      </c>
      <c r="B720" s="3" t="str">
        <f>"FES1162740192"</f>
        <v>FES1162740192</v>
      </c>
      <c r="C720" s="3" t="s">
        <v>410</v>
      </c>
      <c r="D720" s="3">
        <v>1</v>
      </c>
      <c r="E720" s="3" t="str">
        <f>"2170730411"</f>
        <v>2170730411</v>
      </c>
      <c r="F720" s="3" t="s">
        <v>17</v>
      </c>
      <c r="G720" s="3" t="s">
        <v>18</v>
      </c>
      <c r="H720" s="3" t="s">
        <v>36</v>
      </c>
      <c r="I720" s="3" t="s">
        <v>37</v>
      </c>
      <c r="J720" s="3" t="s">
        <v>113</v>
      </c>
      <c r="K720" s="3" t="s">
        <v>778</v>
      </c>
      <c r="L720" s="4">
        <v>0.40972222222222227</v>
      </c>
      <c r="M720" s="3" t="s">
        <v>383</v>
      </c>
      <c r="N720" s="3" t="s">
        <v>24</v>
      </c>
      <c r="O720" s="3" t="s">
        <v>25</v>
      </c>
    </row>
    <row r="721" spans="1:15">
      <c r="A721" s="3" t="s">
        <v>15</v>
      </c>
      <c r="B721" s="3" t="str">
        <f>"FES1162740168"</f>
        <v>FES1162740168</v>
      </c>
      <c r="C721" s="3" t="s">
        <v>410</v>
      </c>
      <c r="D721" s="3">
        <v>1</v>
      </c>
      <c r="E721" s="3" t="str">
        <f>"2170730187"</f>
        <v>2170730187</v>
      </c>
      <c r="F721" s="3" t="s">
        <v>17</v>
      </c>
      <c r="G721" s="3" t="s">
        <v>18</v>
      </c>
      <c r="H721" s="3" t="s">
        <v>18</v>
      </c>
      <c r="I721" s="3" t="s">
        <v>163</v>
      </c>
      <c r="J721" s="3" t="s">
        <v>164</v>
      </c>
      <c r="K721" s="3" t="s">
        <v>778</v>
      </c>
      <c r="L721" s="4">
        <v>0.41805555555555557</v>
      </c>
      <c r="M721" s="3" t="s">
        <v>165</v>
      </c>
      <c r="N721" s="3" t="s">
        <v>24</v>
      </c>
      <c r="O721" s="3" t="s">
        <v>25</v>
      </c>
    </row>
    <row r="722" spans="1:15">
      <c r="A722" s="3" t="s">
        <v>15</v>
      </c>
      <c r="B722" s="3" t="str">
        <f>"FES1162740191"</f>
        <v>FES1162740191</v>
      </c>
      <c r="C722" s="3" t="s">
        <v>410</v>
      </c>
      <c r="D722" s="3">
        <v>1</v>
      </c>
      <c r="E722" s="3" t="str">
        <f>"2170730399"</f>
        <v>2170730399</v>
      </c>
      <c r="F722" s="3" t="s">
        <v>17</v>
      </c>
      <c r="G722" s="3" t="s">
        <v>18</v>
      </c>
      <c r="H722" s="3" t="s">
        <v>100</v>
      </c>
      <c r="I722" s="3" t="s">
        <v>262</v>
      </c>
      <c r="J722" s="3" t="s">
        <v>263</v>
      </c>
      <c r="K722" s="3" t="s">
        <v>363</v>
      </c>
      <c r="L722" s="4">
        <v>0.4152777777777778</v>
      </c>
      <c r="M722" s="3" t="s">
        <v>838</v>
      </c>
      <c r="N722" s="3" t="s">
        <v>24</v>
      </c>
      <c r="O722" s="3" t="s">
        <v>25</v>
      </c>
    </row>
    <row r="723" spans="1:15">
      <c r="A723" s="3" t="s">
        <v>15</v>
      </c>
      <c r="B723" s="3" t="str">
        <f>"FES1162740172"</f>
        <v>FES1162740172</v>
      </c>
      <c r="C723" s="3" t="s">
        <v>410</v>
      </c>
      <c r="D723" s="3">
        <v>1</v>
      </c>
      <c r="E723" s="3" t="str">
        <f>"2170730206"</f>
        <v>2170730206</v>
      </c>
      <c r="F723" s="3" t="s">
        <v>17</v>
      </c>
      <c r="G723" s="3" t="s">
        <v>18</v>
      </c>
      <c r="H723" s="3" t="s">
        <v>18</v>
      </c>
      <c r="I723" s="3" t="s">
        <v>29</v>
      </c>
      <c r="J723" s="3" t="s">
        <v>307</v>
      </c>
      <c r="K723" s="3" t="s">
        <v>778</v>
      </c>
      <c r="L723" s="4">
        <v>0.32708333333333334</v>
      </c>
      <c r="M723" s="3" t="s">
        <v>308</v>
      </c>
      <c r="N723" s="3" t="s">
        <v>24</v>
      </c>
      <c r="O723" s="3" t="s">
        <v>25</v>
      </c>
    </row>
    <row r="724" spans="1:15">
      <c r="A724" s="3" t="s">
        <v>15</v>
      </c>
      <c r="B724" s="3" t="str">
        <f>"FES1162740234"</f>
        <v>FES1162740234</v>
      </c>
      <c r="C724" s="3" t="s">
        <v>410</v>
      </c>
      <c r="D724" s="3">
        <v>1</v>
      </c>
      <c r="E724" s="3" t="str">
        <f>"2170731823"</f>
        <v>2170731823</v>
      </c>
      <c r="F724" s="3" t="s">
        <v>17</v>
      </c>
      <c r="G724" s="3" t="s">
        <v>18</v>
      </c>
      <c r="H724" s="3" t="s">
        <v>70</v>
      </c>
      <c r="I724" s="3" t="s">
        <v>507</v>
      </c>
      <c r="J724" s="3" t="s">
        <v>821</v>
      </c>
      <c r="K724" s="3" t="s">
        <v>778</v>
      </c>
      <c r="L724" s="4">
        <v>0.49027777777777781</v>
      </c>
      <c r="M724" s="3" t="s">
        <v>822</v>
      </c>
      <c r="N724" s="3" t="s">
        <v>24</v>
      </c>
      <c r="O724" s="3" t="s">
        <v>25</v>
      </c>
    </row>
    <row r="725" spans="1:15">
      <c r="A725" s="3" t="s">
        <v>15</v>
      </c>
      <c r="B725" s="3" t="str">
        <f>"FES1162740149"</f>
        <v>FES1162740149</v>
      </c>
      <c r="C725" s="3" t="s">
        <v>410</v>
      </c>
      <c r="D725" s="3">
        <v>1</v>
      </c>
      <c r="E725" s="3" t="str">
        <f>"2170729704"</f>
        <v>2170729704</v>
      </c>
      <c r="F725" s="3" t="s">
        <v>17</v>
      </c>
      <c r="G725" s="3" t="s">
        <v>18</v>
      </c>
      <c r="H725" s="3" t="s">
        <v>46</v>
      </c>
      <c r="I725" s="3" t="s">
        <v>47</v>
      </c>
      <c r="J725" s="3" t="s">
        <v>839</v>
      </c>
      <c r="K725" s="3" t="s">
        <v>778</v>
      </c>
      <c r="L725" s="4">
        <v>0.43402777777777773</v>
      </c>
      <c r="M725" s="3" t="s">
        <v>840</v>
      </c>
      <c r="N725" s="3" t="s">
        <v>24</v>
      </c>
      <c r="O725" s="3" t="s">
        <v>25</v>
      </c>
    </row>
    <row r="726" spans="1:15">
      <c r="A726" s="3" t="s">
        <v>15</v>
      </c>
      <c r="B726" s="3" t="str">
        <f>"FES2170730454"</f>
        <v>FES2170730454</v>
      </c>
      <c r="C726" s="3" t="s">
        <v>410</v>
      </c>
      <c r="D726" s="3">
        <v>1</v>
      </c>
      <c r="E726" s="3" t="str">
        <f>"2170730454"</f>
        <v>2170730454</v>
      </c>
      <c r="F726" s="3" t="s">
        <v>17</v>
      </c>
      <c r="G726" s="3" t="s">
        <v>18</v>
      </c>
      <c r="H726" s="3" t="s">
        <v>19</v>
      </c>
      <c r="I726" s="3" t="s">
        <v>20</v>
      </c>
      <c r="J726" s="3" t="s">
        <v>841</v>
      </c>
      <c r="K726" s="3" t="s">
        <v>778</v>
      </c>
      <c r="L726" s="4">
        <v>0.4145833333333333</v>
      </c>
      <c r="M726" s="3" t="s">
        <v>842</v>
      </c>
      <c r="N726" s="3" t="s">
        <v>24</v>
      </c>
      <c r="O726" s="3" t="s">
        <v>25</v>
      </c>
    </row>
    <row r="727" spans="1:15">
      <c r="A727" s="3" t="s">
        <v>15</v>
      </c>
      <c r="B727" s="3" t="str">
        <f>"FES1162740238"</f>
        <v>FES1162740238</v>
      </c>
      <c r="C727" s="3" t="s">
        <v>410</v>
      </c>
      <c r="D727" s="3">
        <v>1</v>
      </c>
      <c r="E727" s="3" t="str">
        <f>"2170731825"</f>
        <v>2170731825</v>
      </c>
      <c r="F727" s="3" t="s">
        <v>17</v>
      </c>
      <c r="G727" s="3" t="s">
        <v>18</v>
      </c>
      <c r="H727" s="3" t="s">
        <v>19</v>
      </c>
      <c r="I727" s="3" t="s">
        <v>20</v>
      </c>
      <c r="J727" s="3" t="s">
        <v>21</v>
      </c>
      <c r="K727" s="3" t="s">
        <v>778</v>
      </c>
      <c r="L727" s="4">
        <v>0.3298611111111111</v>
      </c>
      <c r="M727" s="3" t="s">
        <v>843</v>
      </c>
      <c r="N727" s="3" t="s">
        <v>24</v>
      </c>
      <c r="O727" s="3" t="s">
        <v>25</v>
      </c>
    </row>
    <row r="728" spans="1:15">
      <c r="A728" s="3" t="s">
        <v>15</v>
      </c>
      <c r="B728" s="3" t="str">
        <f>"FES1162740201"</f>
        <v>FES1162740201</v>
      </c>
      <c r="C728" s="3" t="s">
        <v>410</v>
      </c>
      <c r="D728" s="3">
        <v>1</v>
      </c>
      <c r="E728" s="3" t="str">
        <f>"2170730498 1"</f>
        <v>2170730498 1</v>
      </c>
      <c r="F728" s="3" t="s">
        <v>17</v>
      </c>
      <c r="G728" s="3" t="s">
        <v>18</v>
      </c>
      <c r="H728" s="3" t="s">
        <v>100</v>
      </c>
      <c r="I728" s="3" t="s">
        <v>117</v>
      </c>
      <c r="J728" s="3" t="s">
        <v>335</v>
      </c>
      <c r="K728" s="3" t="s">
        <v>778</v>
      </c>
      <c r="L728" s="4">
        <v>0.49722222222222223</v>
      </c>
      <c r="M728" s="3" t="s">
        <v>626</v>
      </c>
      <c r="N728" s="3" t="s">
        <v>24</v>
      </c>
      <c r="O728" s="3" t="s">
        <v>25</v>
      </c>
    </row>
    <row r="729" spans="1:15">
      <c r="A729" s="3" t="s">
        <v>15</v>
      </c>
      <c r="B729" s="3" t="str">
        <f>"FES1162740171"</f>
        <v>FES1162740171</v>
      </c>
      <c r="C729" s="3" t="s">
        <v>410</v>
      </c>
      <c r="D729" s="3">
        <v>1</v>
      </c>
      <c r="E729" s="3" t="str">
        <f>"2170730204"</f>
        <v>2170730204</v>
      </c>
      <c r="F729" s="3" t="s">
        <v>17</v>
      </c>
      <c r="G729" s="3" t="s">
        <v>18</v>
      </c>
      <c r="H729" s="3" t="s">
        <v>18</v>
      </c>
      <c r="I729" s="3" t="s">
        <v>29</v>
      </c>
      <c r="J729" s="3" t="s">
        <v>307</v>
      </c>
      <c r="K729" s="3" t="s">
        <v>778</v>
      </c>
      <c r="L729" s="4">
        <v>0.32708333333333334</v>
      </c>
      <c r="M729" s="3" t="s">
        <v>308</v>
      </c>
      <c r="N729" s="3" t="s">
        <v>24</v>
      </c>
      <c r="O729" s="3" t="s">
        <v>25</v>
      </c>
    </row>
    <row r="730" spans="1:15">
      <c r="A730" s="3" t="s">
        <v>15</v>
      </c>
      <c r="B730" s="3" t="str">
        <f>"FES1162740248"</f>
        <v>FES1162740248</v>
      </c>
      <c r="C730" s="3" t="s">
        <v>410</v>
      </c>
      <c r="D730" s="3">
        <v>1</v>
      </c>
      <c r="E730" s="3" t="str">
        <f>"2170731836"</f>
        <v>2170731836</v>
      </c>
      <c r="F730" s="3" t="s">
        <v>17</v>
      </c>
      <c r="G730" s="3" t="s">
        <v>18</v>
      </c>
      <c r="H730" s="3" t="s">
        <v>844</v>
      </c>
      <c r="I730" s="3" t="s">
        <v>845</v>
      </c>
      <c r="J730" s="3" t="s">
        <v>846</v>
      </c>
      <c r="K730" s="3" t="s">
        <v>778</v>
      </c>
      <c r="L730" s="4">
        <v>0.41805555555555557</v>
      </c>
      <c r="M730" s="3" t="s">
        <v>847</v>
      </c>
      <c r="N730" s="3" t="s">
        <v>24</v>
      </c>
      <c r="O730" s="3" t="s">
        <v>25</v>
      </c>
    </row>
    <row r="731" spans="1:15">
      <c r="A731" s="3" t="s">
        <v>15</v>
      </c>
      <c r="B731" s="3" t="str">
        <f>"FES1162740133"</f>
        <v>FES1162740133</v>
      </c>
      <c r="C731" s="3" t="s">
        <v>410</v>
      </c>
      <c r="D731" s="3">
        <v>1</v>
      </c>
      <c r="E731" s="3" t="str">
        <f>"2170731785"</f>
        <v>2170731785</v>
      </c>
      <c r="F731" s="3" t="s">
        <v>17</v>
      </c>
      <c r="G731" s="3" t="s">
        <v>18</v>
      </c>
      <c r="H731" s="3" t="s">
        <v>18</v>
      </c>
      <c r="I731" s="3" t="s">
        <v>309</v>
      </c>
      <c r="J731" s="3" t="s">
        <v>278</v>
      </c>
      <c r="K731" s="3" t="s">
        <v>778</v>
      </c>
      <c r="L731" s="4">
        <v>0.375</v>
      </c>
      <c r="M731" s="3" t="s">
        <v>815</v>
      </c>
      <c r="N731" s="3" t="s">
        <v>24</v>
      </c>
      <c r="O731" s="3" t="s">
        <v>25</v>
      </c>
    </row>
    <row r="732" spans="1:15">
      <c r="A732" s="3" t="s">
        <v>15</v>
      </c>
      <c r="B732" s="3" t="str">
        <f>"FES1162740200"</f>
        <v>FES1162740200</v>
      </c>
      <c r="C732" s="3" t="s">
        <v>410</v>
      </c>
      <c r="D732" s="3">
        <v>1</v>
      </c>
      <c r="E732" s="3" t="str">
        <f>"2170730490"</f>
        <v>2170730490</v>
      </c>
      <c r="F732" s="3" t="s">
        <v>17</v>
      </c>
      <c r="G732" s="3" t="s">
        <v>18</v>
      </c>
      <c r="H732" s="3" t="s">
        <v>36</v>
      </c>
      <c r="I732" s="3" t="s">
        <v>37</v>
      </c>
      <c r="J732" s="3" t="s">
        <v>260</v>
      </c>
      <c r="K732" s="3" t="s">
        <v>778</v>
      </c>
      <c r="L732" s="4">
        <v>0.37291666666666662</v>
      </c>
      <c r="M732" s="3" t="s">
        <v>691</v>
      </c>
      <c r="N732" s="3" t="s">
        <v>24</v>
      </c>
      <c r="O732" s="3" t="s">
        <v>25</v>
      </c>
    </row>
    <row r="733" spans="1:15">
      <c r="A733" s="3" t="s">
        <v>15</v>
      </c>
      <c r="B733" s="3" t="str">
        <f>"FES1162740139"</f>
        <v>FES1162740139</v>
      </c>
      <c r="C733" s="3" t="s">
        <v>410</v>
      </c>
      <c r="D733" s="3">
        <v>1</v>
      </c>
      <c r="E733" s="3" t="str">
        <f>"2170726536"</f>
        <v>2170726536</v>
      </c>
      <c r="F733" s="3" t="s">
        <v>17</v>
      </c>
      <c r="G733" s="3" t="s">
        <v>18</v>
      </c>
      <c r="H733" s="3" t="s">
        <v>36</v>
      </c>
      <c r="I733" s="3" t="s">
        <v>174</v>
      </c>
      <c r="J733" s="3" t="s">
        <v>349</v>
      </c>
      <c r="K733" s="3" t="s">
        <v>778</v>
      </c>
      <c r="L733" s="4">
        <v>0.34722222222222227</v>
      </c>
      <c r="M733" s="3" t="s">
        <v>848</v>
      </c>
      <c r="N733" s="3" t="s">
        <v>24</v>
      </c>
      <c r="O733" s="3" t="s">
        <v>25</v>
      </c>
    </row>
    <row r="734" spans="1:15">
      <c r="A734" s="3" t="s">
        <v>15</v>
      </c>
      <c r="B734" s="3" t="str">
        <f>"FES1162740183"</f>
        <v>FES1162740183</v>
      </c>
      <c r="C734" s="3" t="s">
        <v>410</v>
      </c>
      <c r="D734" s="3">
        <v>1</v>
      </c>
      <c r="E734" s="3" t="str">
        <f>"2170730319"</f>
        <v>2170730319</v>
      </c>
      <c r="F734" s="3" t="s">
        <v>17</v>
      </c>
      <c r="G734" s="3" t="s">
        <v>18</v>
      </c>
      <c r="H734" s="3" t="s">
        <v>849</v>
      </c>
      <c r="I734" s="3" t="s">
        <v>850</v>
      </c>
      <c r="J734" s="3" t="s">
        <v>851</v>
      </c>
      <c r="K734" s="3" t="s">
        <v>778</v>
      </c>
      <c r="L734" s="4">
        <v>0.45833333333333331</v>
      </c>
      <c r="M734" s="3" t="s">
        <v>852</v>
      </c>
      <c r="N734" s="3" t="s">
        <v>24</v>
      </c>
      <c r="O734" s="3" t="s">
        <v>25</v>
      </c>
    </row>
    <row r="735" spans="1:15">
      <c r="A735" s="3" t="s">
        <v>15</v>
      </c>
      <c r="B735" s="3" t="str">
        <f>"FES1162740216"</f>
        <v>FES1162740216</v>
      </c>
      <c r="C735" s="3" t="s">
        <v>410</v>
      </c>
      <c r="D735" s="3">
        <v>1</v>
      </c>
      <c r="E735" s="3" t="str">
        <f>"2170731800"</f>
        <v>2170731800</v>
      </c>
      <c r="F735" s="3" t="s">
        <v>17</v>
      </c>
      <c r="G735" s="3" t="s">
        <v>18</v>
      </c>
      <c r="H735" s="3" t="s">
        <v>36</v>
      </c>
      <c r="I735" s="3" t="s">
        <v>37</v>
      </c>
      <c r="J735" s="3" t="s">
        <v>853</v>
      </c>
      <c r="K735" s="3" t="s">
        <v>778</v>
      </c>
      <c r="L735" s="4">
        <v>0.3659722222222222</v>
      </c>
      <c r="M735" s="3" t="s">
        <v>651</v>
      </c>
      <c r="N735" s="3" t="s">
        <v>24</v>
      </c>
      <c r="O735" s="3" t="s">
        <v>25</v>
      </c>
    </row>
    <row r="736" spans="1:15">
      <c r="A736" s="3" t="s">
        <v>15</v>
      </c>
      <c r="B736" s="3" t="str">
        <f>"FES1162740154"</f>
        <v>FES1162740154</v>
      </c>
      <c r="C736" s="3" t="s">
        <v>410</v>
      </c>
      <c r="D736" s="3">
        <v>1</v>
      </c>
      <c r="E736" s="3" t="str">
        <f>"2170730048"</f>
        <v>2170730048</v>
      </c>
      <c r="F736" s="3" t="s">
        <v>17</v>
      </c>
      <c r="G736" s="3" t="s">
        <v>18</v>
      </c>
      <c r="H736" s="3" t="s">
        <v>36</v>
      </c>
      <c r="I736" s="3" t="s">
        <v>37</v>
      </c>
      <c r="J736" s="3" t="s">
        <v>187</v>
      </c>
      <c r="K736" s="3" t="s">
        <v>778</v>
      </c>
      <c r="L736" s="4">
        <v>0.35416666666666669</v>
      </c>
      <c r="M736" s="3" t="s">
        <v>820</v>
      </c>
      <c r="N736" s="3" t="s">
        <v>24</v>
      </c>
      <c r="O736" s="3" t="s">
        <v>25</v>
      </c>
    </row>
    <row r="737" spans="1:15">
      <c r="A737" s="3" t="s">
        <v>15</v>
      </c>
      <c r="B737" s="3" t="str">
        <f>"FES1162740249"</f>
        <v>FES1162740249</v>
      </c>
      <c r="C737" s="3" t="s">
        <v>410</v>
      </c>
      <c r="D737" s="3">
        <v>1</v>
      </c>
      <c r="E737" s="3" t="str">
        <f>"21707318317"</f>
        <v>21707318317</v>
      </c>
      <c r="F737" s="3" t="s">
        <v>17</v>
      </c>
      <c r="G737" s="3" t="s">
        <v>18</v>
      </c>
      <c r="H737" s="3" t="s">
        <v>36</v>
      </c>
      <c r="I737" s="3" t="s">
        <v>37</v>
      </c>
      <c r="J737" s="3" t="s">
        <v>854</v>
      </c>
      <c r="K737" s="3" t="s">
        <v>778</v>
      </c>
      <c r="L737" s="4">
        <v>0.37847222222222227</v>
      </c>
      <c r="M737" s="3" t="s">
        <v>855</v>
      </c>
      <c r="N737" s="3" t="s">
        <v>24</v>
      </c>
      <c r="O737" s="3" t="s">
        <v>25</v>
      </c>
    </row>
    <row r="738" spans="1:15">
      <c r="A738" s="3" t="s">
        <v>15</v>
      </c>
      <c r="B738" s="3" t="str">
        <f>"FES1162740164"</f>
        <v>FES1162740164</v>
      </c>
      <c r="C738" s="3" t="s">
        <v>410</v>
      </c>
      <c r="D738" s="3">
        <v>1</v>
      </c>
      <c r="E738" s="3" t="str">
        <f>"2170730149"</f>
        <v>2170730149</v>
      </c>
      <c r="F738" s="3" t="s">
        <v>17</v>
      </c>
      <c r="G738" s="3" t="s">
        <v>18</v>
      </c>
      <c r="H738" s="3" t="s">
        <v>18</v>
      </c>
      <c r="I738" s="3" t="s">
        <v>29</v>
      </c>
      <c r="J738" s="3" t="s">
        <v>487</v>
      </c>
      <c r="K738" s="3" t="s">
        <v>778</v>
      </c>
      <c r="L738" s="4">
        <v>0.33333333333333331</v>
      </c>
      <c r="M738" s="3" t="s">
        <v>681</v>
      </c>
      <c r="N738" s="3" t="s">
        <v>24</v>
      </c>
      <c r="O738" s="3" t="s">
        <v>25</v>
      </c>
    </row>
    <row r="739" spans="1:15">
      <c r="A739" s="3" t="s">
        <v>15</v>
      </c>
      <c r="B739" s="3" t="str">
        <f>"FES1162740224"</f>
        <v>FES1162740224</v>
      </c>
      <c r="C739" s="3" t="s">
        <v>410</v>
      </c>
      <c r="D739" s="3">
        <v>1</v>
      </c>
      <c r="E739" s="3" t="str">
        <f>"2170731796"</f>
        <v>2170731796</v>
      </c>
      <c r="F739" s="3" t="s">
        <v>17</v>
      </c>
      <c r="G739" s="3" t="s">
        <v>18</v>
      </c>
      <c r="H739" s="3" t="s">
        <v>18</v>
      </c>
      <c r="I739" s="3" t="s">
        <v>180</v>
      </c>
      <c r="J739" s="3" t="s">
        <v>856</v>
      </c>
      <c r="K739" s="3" t="s">
        <v>778</v>
      </c>
      <c r="L739" s="4">
        <v>0.42222222222222222</v>
      </c>
      <c r="M739" s="3" t="s">
        <v>857</v>
      </c>
      <c r="N739" s="3" t="s">
        <v>24</v>
      </c>
      <c r="O739" s="3" t="s">
        <v>25</v>
      </c>
    </row>
    <row r="740" spans="1:15">
      <c r="A740" s="3" t="s">
        <v>15</v>
      </c>
      <c r="B740" s="3" t="str">
        <f>"FES1162740141"</f>
        <v>FES1162740141</v>
      </c>
      <c r="C740" s="3" t="s">
        <v>410</v>
      </c>
      <c r="D740" s="3">
        <v>1</v>
      </c>
      <c r="E740" s="3" t="str">
        <f>"2170728250"</f>
        <v>2170728250</v>
      </c>
      <c r="F740" s="3" t="s">
        <v>17</v>
      </c>
      <c r="G740" s="3" t="s">
        <v>18</v>
      </c>
      <c r="H740" s="3" t="s">
        <v>18</v>
      </c>
      <c r="I740" s="3" t="s">
        <v>151</v>
      </c>
      <c r="J740" s="3" t="s">
        <v>407</v>
      </c>
      <c r="K740" s="3" t="s">
        <v>778</v>
      </c>
      <c r="L740" s="4">
        <v>0.375</v>
      </c>
      <c r="M740" s="3" t="s">
        <v>268</v>
      </c>
      <c r="N740" s="3" t="s">
        <v>24</v>
      </c>
      <c r="O740" s="3" t="s">
        <v>25</v>
      </c>
    </row>
    <row r="741" spans="1:15">
      <c r="A741" s="3" t="s">
        <v>15</v>
      </c>
      <c r="B741" s="3" t="str">
        <f>"FES1162740147"</f>
        <v>FES1162740147</v>
      </c>
      <c r="C741" s="3" t="s">
        <v>410</v>
      </c>
      <c r="D741" s="3">
        <v>1</v>
      </c>
      <c r="E741" s="3" t="str">
        <f>"2170729472"</f>
        <v>2170729472</v>
      </c>
      <c r="F741" s="3" t="s">
        <v>17</v>
      </c>
      <c r="G741" s="3" t="s">
        <v>18</v>
      </c>
      <c r="H741" s="3" t="s">
        <v>18</v>
      </c>
      <c r="I741" s="3" t="s">
        <v>168</v>
      </c>
      <c r="J741" s="3" t="s">
        <v>302</v>
      </c>
      <c r="K741" s="3" t="s">
        <v>778</v>
      </c>
      <c r="L741" s="4">
        <v>0.41319444444444442</v>
      </c>
      <c r="M741" s="3" t="s">
        <v>858</v>
      </c>
      <c r="N741" s="3" t="s">
        <v>24</v>
      </c>
      <c r="O741" s="3" t="s">
        <v>25</v>
      </c>
    </row>
    <row r="742" spans="1:15">
      <c r="A742" s="3" t="s">
        <v>15</v>
      </c>
      <c r="B742" s="3" t="str">
        <f>"FES1162740246"</f>
        <v>FES1162740246</v>
      </c>
      <c r="C742" s="3" t="s">
        <v>410</v>
      </c>
      <c r="D742" s="3">
        <v>1</v>
      </c>
      <c r="E742" s="3" t="str">
        <f>"2170731833"</f>
        <v>2170731833</v>
      </c>
      <c r="F742" s="3" t="s">
        <v>17</v>
      </c>
      <c r="G742" s="3" t="s">
        <v>18</v>
      </c>
      <c r="H742" s="3" t="s">
        <v>46</v>
      </c>
      <c r="I742" s="3" t="s">
        <v>47</v>
      </c>
      <c r="J742" s="3" t="s">
        <v>62</v>
      </c>
      <c r="K742" s="3" t="s">
        <v>778</v>
      </c>
      <c r="L742" s="4">
        <v>0.43402777777777773</v>
      </c>
      <c r="M742" s="3" t="s">
        <v>859</v>
      </c>
      <c r="N742" s="3" t="s">
        <v>24</v>
      </c>
      <c r="O742" s="3" t="s">
        <v>25</v>
      </c>
    </row>
    <row r="743" spans="1:15">
      <c r="A743" s="3" t="s">
        <v>15</v>
      </c>
      <c r="B743" s="3" t="str">
        <f>"FES1162740152"</f>
        <v>FES1162740152</v>
      </c>
      <c r="C743" s="3" t="s">
        <v>410</v>
      </c>
      <c r="D743" s="3">
        <v>1</v>
      </c>
      <c r="E743" s="3" t="str">
        <f>"2170729982"</f>
        <v>2170729982</v>
      </c>
      <c r="F743" s="3" t="s">
        <v>17</v>
      </c>
      <c r="G743" s="3" t="s">
        <v>18</v>
      </c>
      <c r="H743" s="3" t="s">
        <v>36</v>
      </c>
      <c r="I743" s="3" t="s">
        <v>37</v>
      </c>
      <c r="J743" s="3" t="s">
        <v>54</v>
      </c>
      <c r="K743" s="3" t="s">
        <v>778</v>
      </c>
      <c r="L743" s="4">
        <v>0.41111111111111115</v>
      </c>
      <c r="M743" s="3" t="s">
        <v>55</v>
      </c>
      <c r="N743" s="3" t="s">
        <v>24</v>
      </c>
      <c r="O743" s="3" t="s">
        <v>25</v>
      </c>
    </row>
    <row r="744" spans="1:15">
      <c r="A744" s="3" t="s">
        <v>15</v>
      </c>
      <c r="B744" s="3" t="str">
        <f>"FES1162740202"</f>
        <v>FES1162740202</v>
      </c>
      <c r="C744" s="3" t="s">
        <v>410</v>
      </c>
      <c r="D744" s="3">
        <v>1</v>
      </c>
      <c r="E744" s="3" t="str">
        <f>"2170730502"</f>
        <v>2170730502</v>
      </c>
      <c r="F744" s="3" t="s">
        <v>17</v>
      </c>
      <c r="G744" s="3" t="s">
        <v>18</v>
      </c>
      <c r="H744" s="3" t="s">
        <v>36</v>
      </c>
      <c r="I744" s="3" t="s">
        <v>37</v>
      </c>
      <c r="J744" s="3" t="s">
        <v>260</v>
      </c>
      <c r="K744" s="3" t="s">
        <v>778</v>
      </c>
      <c r="L744" s="4">
        <v>0.37291666666666662</v>
      </c>
      <c r="M744" s="3" t="s">
        <v>691</v>
      </c>
      <c r="N744" s="3" t="s">
        <v>24</v>
      </c>
      <c r="O744" s="3" t="s">
        <v>25</v>
      </c>
    </row>
    <row r="745" spans="1:15">
      <c r="A745" s="3" t="s">
        <v>15</v>
      </c>
      <c r="B745" s="3" t="str">
        <f>"FES1162740153"</f>
        <v>FES1162740153</v>
      </c>
      <c r="C745" s="3" t="s">
        <v>410</v>
      </c>
      <c r="D745" s="3">
        <v>1</v>
      </c>
      <c r="E745" s="3" t="str">
        <f>"2170730000"</f>
        <v>2170730000</v>
      </c>
      <c r="F745" s="3" t="s">
        <v>17</v>
      </c>
      <c r="G745" s="3" t="s">
        <v>18</v>
      </c>
      <c r="H745" s="3" t="s">
        <v>100</v>
      </c>
      <c r="I745" s="3" t="s">
        <v>101</v>
      </c>
      <c r="J745" s="3" t="s">
        <v>250</v>
      </c>
      <c r="K745" s="3" t="s">
        <v>778</v>
      </c>
      <c r="L745" s="4">
        <v>0.38055555555555554</v>
      </c>
      <c r="M745" s="3" t="s">
        <v>251</v>
      </c>
      <c r="N745" s="3" t="s">
        <v>24</v>
      </c>
      <c r="O745" s="3" t="s">
        <v>25</v>
      </c>
    </row>
    <row r="746" spans="1:15">
      <c r="A746" s="3" t="s">
        <v>15</v>
      </c>
      <c r="B746" s="3" t="str">
        <f>"FES1162740227"</f>
        <v>FES1162740227</v>
      </c>
      <c r="C746" s="3" t="s">
        <v>410</v>
      </c>
      <c r="D746" s="3">
        <v>1</v>
      </c>
      <c r="E746" s="3" t="str">
        <f>"2170731811"</f>
        <v>2170731811</v>
      </c>
      <c r="F746" s="3" t="s">
        <v>17</v>
      </c>
      <c r="G746" s="3" t="s">
        <v>18</v>
      </c>
      <c r="H746" s="3" t="s">
        <v>19</v>
      </c>
      <c r="I746" s="3" t="s">
        <v>51</v>
      </c>
      <c r="J746" s="3" t="s">
        <v>860</v>
      </c>
      <c r="K746" s="3" t="s">
        <v>778</v>
      </c>
      <c r="L746" s="4">
        <v>0.35486111111111113</v>
      </c>
      <c r="M746" s="3" t="s">
        <v>861</v>
      </c>
      <c r="N746" s="3" t="s">
        <v>24</v>
      </c>
      <c r="O746" s="3" t="s">
        <v>25</v>
      </c>
    </row>
    <row r="747" spans="1:15">
      <c r="A747" s="3" t="s">
        <v>15</v>
      </c>
      <c r="B747" s="3" t="str">
        <f>"FES1162740198"</f>
        <v>FES1162740198</v>
      </c>
      <c r="C747" s="3" t="s">
        <v>410</v>
      </c>
      <c r="D747" s="3">
        <v>1</v>
      </c>
      <c r="E747" s="3" t="str">
        <f>"2170730480"</f>
        <v>2170730480</v>
      </c>
      <c r="F747" s="3" t="s">
        <v>17</v>
      </c>
      <c r="G747" s="3" t="s">
        <v>18</v>
      </c>
      <c r="H747" s="3" t="s">
        <v>36</v>
      </c>
      <c r="I747" s="3" t="s">
        <v>37</v>
      </c>
      <c r="J747" s="3" t="s">
        <v>585</v>
      </c>
      <c r="K747" s="3" t="s">
        <v>778</v>
      </c>
      <c r="L747" s="4">
        <v>0.36736111111111108</v>
      </c>
      <c r="M747" s="3" t="s">
        <v>862</v>
      </c>
      <c r="N747" s="3" t="s">
        <v>24</v>
      </c>
      <c r="O747" s="3" t="s">
        <v>25</v>
      </c>
    </row>
    <row r="748" spans="1:15">
      <c r="A748" s="3" t="s">
        <v>15</v>
      </c>
      <c r="B748" s="3" t="str">
        <f>"FES1162740155"</f>
        <v>FES1162740155</v>
      </c>
      <c r="C748" s="3" t="s">
        <v>410</v>
      </c>
      <c r="D748" s="3">
        <v>1</v>
      </c>
      <c r="E748" s="3" t="str">
        <f>"2170730049"</f>
        <v>2170730049</v>
      </c>
      <c r="F748" s="3" t="s">
        <v>17</v>
      </c>
      <c r="G748" s="3" t="s">
        <v>18</v>
      </c>
      <c r="H748" s="3" t="s">
        <v>100</v>
      </c>
      <c r="I748" s="3" t="s">
        <v>101</v>
      </c>
      <c r="J748" s="3" t="s">
        <v>863</v>
      </c>
      <c r="K748" s="3" t="s">
        <v>778</v>
      </c>
      <c r="L748" s="4">
        <v>0.33333333333333331</v>
      </c>
      <c r="M748" s="3" t="s">
        <v>737</v>
      </c>
      <c r="N748" s="3" t="s">
        <v>24</v>
      </c>
      <c r="O748" s="3" t="s">
        <v>25</v>
      </c>
    </row>
    <row r="749" spans="1:15">
      <c r="A749" s="3" t="s">
        <v>15</v>
      </c>
      <c r="B749" s="3" t="str">
        <f>"FES1162740217"</f>
        <v>FES1162740217</v>
      </c>
      <c r="C749" s="3" t="s">
        <v>410</v>
      </c>
      <c r="D749" s="3">
        <v>1</v>
      </c>
      <c r="E749" s="3" t="str">
        <f>"2170731801"</f>
        <v>2170731801</v>
      </c>
      <c r="F749" s="3" t="s">
        <v>17</v>
      </c>
      <c r="G749" s="3" t="s">
        <v>18</v>
      </c>
      <c r="H749" s="3" t="s">
        <v>534</v>
      </c>
      <c r="I749" s="3" t="s">
        <v>864</v>
      </c>
      <c r="J749" s="3" t="s">
        <v>865</v>
      </c>
      <c r="K749" s="3" t="s">
        <v>778</v>
      </c>
      <c r="L749" s="4">
        <v>0.39583333333333331</v>
      </c>
      <c r="M749" s="3" t="s">
        <v>866</v>
      </c>
      <c r="N749" s="3" t="s">
        <v>24</v>
      </c>
      <c r="O749" s="3" t="s">
        <v>25</v>
      </c>
    </row>
    <row r="750" spans="1:15">
      <c r="A750" s="3" t="s">
        <v>15</v>
      </c>
      <c r="B750" s="3" t="str">
        <f>"FES1162740230"</f>
        <v>FES1162740230</v>
      </c>
      <c r="C750" s="3" t="s">
        <v>410</v>
      </c>
      <c r="D750" s="3">
        <v>1</v>
      </c>
      <c r="E750" s="3" t="str">
        <f>"21707301816"</f>
        <v>21707301816</v>
      </c>
      <c r="F750" s="3" t="s">
        <v>17</v>
      </c>
      <c r="G750" s="3" t="s">
        <v>18</v>
      </c>
      <c r="H750" s="3" t="s">
        <v>18</v>
      </c>
      <c r="I750" s="3" t="s">
        <v>206</v>
      </c>
      <c r="J750" s="3" t="s">
        <v>207</v>
      </c>
      <c r="K750" s="3" t="s">
        <v>778</v>
      </c>
      <c r="L750" s="4">
        <v>0.33333333333333331</v>
      </c>
      <c r="M750" s="3" t="s">
        <v>867</v>
      </c>
      <c r="N750" s="3" t="s">
        <v>24</v>
      </c>
      <c r="O750" s="3" t="s">
        <v>25</v>
      </c>
    </row>
    <row r="751" spans="1:15">
      <c r="A751" s="3" t="s">
        <v>15</v>
      </c>
      <c r="B751" s="3" t="str">
        <f>"FES1162740177"</f>
        <v>FES1162740177</v>
      </c>
      <c r="C751" s="3" t="s">
        <v>410</v>
      </c>
      <c r="D751" s="3">
        <v>1</v>
      </c>
      <c r="E751" s="3" t="str">
        <f>"217030251"</f>
        <v>217030251</v>
      </c>
      <c r="F751" s="3" t="s">
        <v>17</v>
      </c>
      <c r="G751" s="3" t="s">
        <v>18</v>
      </c>
      <c r="H751" s="3" t="s">
        <v>18</v>
      </c>
      <c r="I751" s="3" t="s">
        <v>206</v>
      </c>
      <c r="J751" s="3" t="s">
        <v>207</v>
      </c>
      <c r="K751" s="3" t="s">
        <v>778</v>
      </c>
      <c r="L751" s="4">
        <v>0.33333333333333331</v>
      </c>
      <c r="M751" s="3" t="s">
        <v>867</v>
      </c>
      <c r="N751" s="3" t="s">
        <v>24</v>
      </c>
      <c r="O751" s="3" t="s">
        <v>25</v>
      </c>
    </row>
    <row r="752" spans="1:15">
      <c r="A752" s="3" t="s">
        <v>15</v>
      </c>
      <c r="B752" s="3" t="str">
        <f>"FES1162740196"</f>
        <v>FES1162740196</v>
      </c>
      <c r="C752" s="3" t="s">
        <v>410</v>
      </c>
      <c r="D752" s="3">
        <v>1</v>
      </c>
      <c r="E752" s="3" t="str">
        <f>"2170730461"</f>
        <v>2170730461</v>
      </c>
      <c r="F752" s="3" t="s">
        <v>17</v>
      </c>
      <c r="G752" s="3" t="s">
        <v>18</v>
      </c>
      <c r="H752" s="3" t="s">
        <v>100</v>
      </c>
      <c r="I752" s="3" t="s">
        <v>101</v>
      </c>
      <c r="J752" s="3" t="s">
        <v>125</v>
      </c>
      <c r="K752" s="3" t="s">
        <v>778</v>
      </c>
      <c r="L752" s="4">
        <v>0.29652777777777778</v>
      </c>
      <c r="M752" s="3" t="s">
        <v>126</v>
      </c>
      <c r="N752" s="3" t="s">
        <v>24</v>
      </c>
      <c r="O752" s="3" t="s">
        <v>25</v>
      </c>
    </row>
    <row r="753" spans="1:15">
      <c r="A753" s="3" t="s">
        <v>15</v>
      </c>
      <c r="B753" s="3" t="str">
        <f>"FES1162740140"</f>
        <v>FES1162740140</v>
      </c>
      <c r="C753" s="3" t="s">
        <v>410</v>
      </c>
      <c r="D753" s="3">
        <v>1</v>
      </c>
      <c r="E753" s="3" t="str">
        <f>"217072735"</f>
        <v>217072735</v>
      </c>
      <c r="F753" s="3" t="s">
        <v>17</v>
      </c>
      <c r="G753" s="3" t="s">
        <v>18</v>
      </c>
      <c r="H753" s="3" t="s">
        <v>18</v>
      </c>
      <c r="I753" s="3" t="s">
        <v>171</v>
      </c>
      <c r="J753" s="3" t="s">
        <v>189</v>
      </c>
      <c r="K753" s="3" t="s">
        <v>778</v>
      </c>
      <c r="L753" s="4">
        <v>0.3527777777777778</v>
      </c>
      <c r="M753" s="3" t="s">
        <v>868</v>
      </c>
      <c r="N753" s="3" t="s">
        <v>24</v>
      </c>
      <c r="O753" s="3" t="s">
        <v>25</v>
      </c>
    </row>
    <row r="754" spans="1:15">
      <c r="A754" s="3" t="s">
        <v>15</v>
      </c>
      <c r="B754" s="3" t="str">
        <f>"FES1162740214"</f>
        <v>FES1162740214</v>
      </c>
      <c r="C754" s="3" t="s">
        <v>410</v>
      </c>
      <c r="D754" s="3">
        <v>1</v>
      </c>
      <c r="E754" s="3" t="str">
        <f>"217073175"</f>
        <v>217073175</v>
      </c>
      <c r="F754" s="3" t="s">
        <v>17</v>
      </c>
      <c r="G754" s="3" t="s">
        <v>18</v>
      </c>
      <c r="H754" s="3" t="s">
        <v>100</v>
      </c>
      <c r="I754" s="3" t="s">
        <v>262</v>
      </c>
      <c r="J754" s="3" t="s">
        <v>263</v>
      </c>
      <c r="K754" s="3" t="s">
        <v>363</v>
      </c>
      <c r="L754" s="4">
        <v>0.4152777777777778</v>
      </c>
      <c r="M754" s="3" t="s">
        <v>838</v>
      </c>
      <c r="N754" s="3" t="s">
        <v>24</v>
      </c>
      <c r="O754" s="3" t="s">
        <v>25</v>
      </c>
    </row>
    <row r="755" spans="1:15">
      <c r="A755" s="3" t="s">
        <v>15</v>
      </c>
      <c r="B755" s="3" t="str">
        <f>"FES1162740157"</f>
        <v>FES1162740157</v>
      </c>
      <c r="C755" s="3" t="s">
        <v>410</v>
      </c>
      <c r="D755" s="3">
        <v>1</v>
      </c>
      <c r="E755" s="3" t="str">
        <f>"2170730114"</f>
        <v>2170730114</v>
      </c>
      <c r="F755" s="3" t="s">
        <v>17</v>
      </c>
      <c r="G755" s="3" t="s">
        <v>18</v>
      </c>
      <c r="H755" s="3" t="s">
        <v>18</v>
      </c>
      <c r="I755" s="3" t="s">
        <v>168</v>
      </c>
      <c r="J755" s="3" t="s">
        <v>302</v>
      </c>
      <c r="K755" s="3" t="s">
        <v>778</v>
      </c>
      <c r="L755" s="4">
        <v>0.40972222222222227</v>
      </c>
      <c r="M755" s="3" t="s">
        <v>858</v>
      </c>
      <c r="N755" s="3" t="s">
        <v>24</v>
      </c>
      <c r="O755" s="3" t="s">
        <v>25</v>
      </c>
    </row>
    <row r="756" spans="1:15">
      <c r="A756" s="3" t="s">
        <v>15</v>
      </c>
      <c r="B756" s="3" t="str">
        <f>"FES1162740175"</f>
        <v>FES1162740175</v>
      </c>
      <c r="C756" s="3" t="s">
        <v>410</v>
      </c>
      <c r="D756" s="3">
        <v>1</v>
      </c>
      <c r="E756" s="3" t="str">
        <f>"2170730256"</f>
        <v>2170730256</v>
      </c>
      <c r="F756" s="3" t="s">
        <v>17</v>
      </c>
      <c r="G756" s="3" t="s">
        <v>18</v>
      </c>
      <c r="H756" s="3" t="s">
        <v>100</v>
      </c>
      <c r="I756" s="3" t="s">
        <v>101</v>
      </c>
      <c r="J756" s="3" t="s">
        <v>265</v>
      </c>
      <c r="K756" s="3" t="s">
        <v>778</v>
      </c>
      <c r="L756" s="4">
        <v>0.32500000000000001</v>
      </c>
      <c r="M756" s="3" t="s">
        <v>266</v>
      </c>
      <c r="N756" s="3" t="s">
        <v>24</v>
      </c>
      <c r="O756" s="3" t="s">
        <v>25</v>
      </c>
    </row>
    <row r="757" spans="1:15">
      <c r="A757" s="3" t="s">
        <v>15</v>
      </c>
      <c r="B757" s="3" t="str">
        <f>"FES1162740167"</f>
        <v>FES1162740167</v>
      </c>
      <c r="C757" s="3" t="s">
        <v>410</v>
      </c>
      <c r="D757" s="3">
        <v>1</v>
      </c>
      <c r="E757" s="3" t="str">
        <f>"2170730185"</f>
        <v>2170730185</v>
      </c>
      <c r="F757" s="3" t="s">
        <v>17</v>
      </c>
      <c r="G757" s="3" t="s">
        <v>18</v>
      </c>
      <c r="H757" s="3" t="s">
        <v>66</v>
      </c>
      <c r="I757" s="3" t="s">
        <v>869</v>
      </c>
      <c r="J757" s="3" t="s">
        <v>870</v>
      </c>
      <c r="K757" s="3" t="s">
        <v>363</v>
      </c>
      <c r="L757" s="4">
        <v>0.43194444444444446</v>
      </c>
      <c r="M757" s="3" t="s">
        <v>871</v>
      </c>
      <c r="N757" s="3" t="s">
        <v>24</v>
      </c>
      <c r="O757" s="3" t="s">
        <v>25</v>
      </c>
    </row>
    <row r="758" spans="1:15">
      <c r="A758" s="3" t="s">
        <v>15</v>
      </c>
      <c r="B758" s="3" t="str">
        <f>"FES1162740161"</f>
        <v>FES1162740161</v>
      </c>
      <c r="C758" s="3" t="s">
        <v>410</v>
      </c>
      <c r="D758" s="3">
        <v>1</v>
      </c>
      <c r="E758" s="3" t="str">
        <f>"2170730410"</f>
        <v>2170730410</v>
      </c>
      <c r="F758" s="3" t="s">
        <v>17</v>
      </c>
      <c r="G758" s="3" t="s">
        <v>18</v>
      </c>
      <c r="H758" s="3" t="s">
        <v>18</v>
      </c>
      <c r="I758" s="3" t="s">
        <v>33</v>
      </c>
      <c r="J758" s="3" t="s">
        <v>872</v>
      </c>
      <c r="K758" s="3" t="s">
        <v>778</v>
      </c>
      <c r="L758" s="4">
        <v>0.35555555555555557</v>
      </c>
      <c r="M758" s="3" t="s">
        <v>873</v>
      </c>
      <c r="N758" s="3" t="s">
        <v>24</v>
      </c>
      <c r="O758" s="3" t="s">
        <v>25</v>
      </c>
    </row>
    <row r="759" spans="1:15">
      <c r="A759" s="3" t="s">
        <v>15</v>
      </c>
      <c r="B759" s="3" t="str">
        <f>"FES1162740130"</f>
        <v>FES1162740130</v>
      </c>
      <c r="C759" s="3" t="s">
        <v>410</v>
      </c>
      <c r="D759" s="3">
        <v>1</v>
      </c>
      <c r="E759" s="3" t="str">
        <f>"2170731784"</f>
        <v>2170731784</v>
      </c>
      <c r="F759" s="3" t="s">
        <v>17</v>
      </c>
      <c r="G759" s="3" t="s">
        <v>18</v>
      </c>
      <c r="H759" s="3" t="s">
        <v>18</v>
      </c>
      <c r="I759" s="3" t="s">
        <v>309</v>
      </c>
      <c r="J759" s="3" t="s">
        <v>278</v>
      </c>
      <c r="K759" s="3" t="s">
        <v>778</v>
      </c>
      <c r="L759" s="4">
        <v>0.375</v>
      </c>
      <c r="M759" s="3" t="s">
        <v>200</v>
      </c>
      <c r="N759" s="3" t="s">
        <v>24</v>
      </c>
      <c r="O759" s="3" t="s">
        <v>25</v>
      </c>
    </row>
    <row r="760" spans="1:15">
      <c r="A760" s="3" t="s">
        <v>15</v>
      </c>
      <c r="B760" s="3" t="str">
        <f>"FES1162740220"</f>
        <v>FES1162740220</v>
      </c>
      <c r="C760" s="3" t="s">
        <v>410</v>
      </c>
      <c r="D760" s="3">
        <v>1</v>
      </c>
      <c r="E760" s="3" t="str">
        <f>"2170731805"</f>
        <v>2170731805</v>
      </c>
      <c r="F760" s="3" t="s">
        <v>17</v>
      </c>
      <c r="G760" s="3" t="s">
        <v>18</v>
      </c>
      <c r="H760" s="3" t="s">
        <v>100</v>
      </c>
      <c r="I760" s="3" t="s">
        <v>101</v>
      </c>
      <c r="J760" s="3" t="s">
        <v>874</v>
      </c>
      <c r="K760" s="3" t="s">
        <v>778</v>
      </c>
      <c r="L760" s="4">
        <v>0.43402777777777773</v>
      </c>
      <c r="M760" s="3" t="s">
        <v>875</v>
      </c>
      <c r="N760" s="3" t="s">
        <v>24</v>
      </c>
      <c r="O760" s="3" t="s">
        <v>25</v>
      </c>
    </row>
    <row r="761" spans="1:15">
      <c r="A761" s="3" t="s">
        <v>15</v>
      </c>
      <c r="B761" s="3" t="str">
        <f>"009935712238"</f>
        <v>009935712238</v>
      </c>
      <c r="C761" s="3" t="s">
        <v>410</v>
      </c>
      <c r="D761" s="3">
        <v>1</v>
      </c>
      <c r="E761" s="3" t="str">
        <f>"1162735986"</f>
        <v>1162735986</v>
      </c>
      <c r="F761" s="3" t="s">
        <v>17</v>
      </c>
      <c r="G761" s="3" t="s">
        <v>18</v>
      </c>
      <c r="H761" s="3" t="s">
        <v>18</v>
      </c>
      <c r="I761" s="3" t="s">
        <v>171</v>
      </c>
      <c r="J761" s="3" t="s">
        <v>876</v>
      </c>
      <c r="K761" s="3" t="s">
        <v>363</v>
      </c>
      <c r="L761" s="4">
        <v>0.50763888888888886</v>
      </c>
      <c r="M761" s="3" t="s">
        <v>321</v>
      </c>
      <c r="N761" s="3" t="s">
        <v>24</v>
      </c>
      <c r="O761" s="3" t="s">
        <v>877</v>
      </c>
    </row>
    <row r="762" spans="1:15">
      <c r="A762" s="3" t="s">
        <v>15</v>
      </c>
      <c r="B762" s="3" t="str">
        <f>"FES1162740304"</f>
        <v>FES1162740304</v>
      </c>
      <c r="C762" s="3" t="s">
        <v>410</v>
      </c>
      <c r="D762" s="3">
        <v>1</v>
      </c>
      <c r="E762" s="3" t="str">
        <f>"2170731901"</f>
        <v>2170731901</v>
      </c>
      <c r="F762" s="3" t="s">
        <v>17</v>
      </c>
      <c r="G762" s="3" t="s">
        <v>18</v>
      </c>
      <c r="H762" s="3" t="s">
        <v>36</v>
      </c>
      <c r="I762" s="3" t="s">
        <v>37</v>
      </c>
      <c r="J762" s="3" t="s">
        <v>505</v>
      </c>
      <c r="K762" s="3" t="s">
        <v>778</v>
      </c>
      <c r="L762" s="4">
        <v>0.34722222222222227</v>
      </c>
      <c r="M762" s="3" t="s">
        <v>878</v>
      </c>
      <c r="N762" s="3" t="s">
        <v>24</v>
      </c>
      <c r="O762" s="3" t="s">
        <v>25</v>
      </c>
    </row>
    <row r="763" spans="1:15">
      <c r="A763" s="3" t="s">
        <v>15</v>
      </c>
      <c r="B763" s="3" t="str">
        <f>"FES1162740282"</f>
        <v>FES1162740282</v>
      </c>
      <c r="C763" s="3" t="s">
        <v>410</v>
      </c>
      <c r="D763" s="3">
        <v>1</v>
      </c>
      <c r="E763" s="3" t="str">
        <f>"2170731876"</f>
        <v>2170731876</v>
      </c>
      <c r="F763" s="3" t="s">
        <v>17</v>
      </c>
      <c r="G763" s="3" t="s">
        <v>18</v>
      </c>
      <c r="H763" s="3" t="s">
        <v>36</v>
      </c>
      <c r="I763" s="3" t="s">
        <v>174</v>
      </c>
      <c r="J763" s="3" t="s">
        <v>175</v>
      </c>
      <c r="K763" s="3" t="s">
        <v>778</v>
      </c>
      <c r="L763" s="4">
        <v>0.33680555555555558</v>
      </c>
      <c r="M763" s="3" t="s">
        <v>176</v>
      </c>
      <c r="N763" s="3" t="s">
        <v>24</v>
      </c>
      <c r="O763" s="3" t="s">
        <v>25</v>
      </c>
    </row>
    <row r="764" spans="1:15">
      <c r="A764" s="3" t="s">
        <v>15</v>
      </c>
      <c r="B764" s="3" t="str">
        <f>"FES1162740264"</f>
        <v>FES1162740264</v>
      </c>
      <c r="C764" s="3" t="s">
        <v>410</v>
      </c>
      <c r="D764" s="3">
        <v>1</v>
      </c>
      <c r="E764" s="3" t="str">
        <f>"2170731854"</f>
        <v>2170731854</v>
      </c>
      <c r="F764" s="3" t="s">
        <v>17</v>
      </c>
      <c r="G764" s="3" t="s">
        <v>18</v>
      </c>
      <c r="H764" s="3" t="s">
        <v>36</v>
      </c>
      <c r="I764" s="3" t="s">
        <v>37</v>
      </c>
      <c r="J764" s="3" t="s">
        <v>585</v>
      </c>
      <c r="K764" s="3" t="s">
        <v>778</v>
      </c>
      <c r="L764" s="4">
        <v>0.36736111111111108</v>
      </c>
      <c r="M764" s="3" t="s">
        <v>862</v>
      </c>
      <c r="N764" s="3" t="s">
        <v>24</v>
      </c>
      <c r="O764" s="3" t="s">
        <v>25</v>
      </c>
    </row>
    <row r="765" spans="1:15">
      <c r="A765" s="3" t="s">
        <v>15</v>
      </c>
      <c r="B765" s="3" t="str">
        <f>"FES1162740253"</f>
        <v>FES1162740253</v>
      </c>
      <c r="C765" s="3" t="s">
        <v>410</v>
      </c>
      <c r="D765" s="3">
        <v>1</v>
      </c>
      <c r="E765" s="3" t="str">
        <f>"2170731842"</f>
        <v>2170731842</v>
      </c>
      <c r="F765" s="3" t="s">
        <v>17</v>
      </c>
      <c r="G765" s="3" t="s">
        <v>18</v>
      </c>
      <c r="H765" s="3" t="s">
        <v>18</v>
      </c>
      <c r="I765" s="3" t="s">
        <v>180</v>
      </c>
      <c r="J765" s="3" t="s">
        <v>879</v>
      </c>
      <c r="K765" s="3" t="s">
        <v>778</v>
      </c>
      <c r="L765" s="4">
        <v>0.43055555555555558</v>
      </c>
      <c r="M765" s="3" t="s">
        <v>880</v>
      </c>
      <c r="N765" s="3" t="s">
        <v>24</v>
      </c>
      <c r="O765" s="3" t="s">
        <v>25</v>
      </c>
    </row>
    <row r="766" spans="1:15">
      <c r="A766" s="3" t="s">
        <v>15</v>
      </c>
      <c r="B766" s="3" t="str">
        <f>"FES1162740318"</f>
        <v>FES1162740318</v>
      </c>
      <c r="C766" s="3" t="s">
        <v>410</v>
      </c>
      <c r="D766" s="3">
        <v>1</v>
      </c>
      <c r="E766" s="3" t="str">
        <f>"21710731921"</f>
        <v>21710731921</v>
      </c>
      <c r="F766" s="3" t="s">
        <v>17</v>
      </c>
      <c r="G766" s="3" t="s">
        <v>18</v>
      </c>
      <c r="H766" s="3" t="s">
        <v>36</v>
      </c>
      <c r="I766" s="3" t="s">
        <v>37</v>
      </c>
      <c r="J766" s="3" t="s">
        <v>260</v>
      </c>
      <c r="K766" s="3" t="s">
        <v>778</v>
      </c>
      <c r="L766" s="4">
        <v>0.37361111111111112</v>
      </c>
      <c r="M766" s="3" t="s">
        <v>788</v>
      </c>
      <c r="N766" s="3" t="s">
        <v>24</v>
      </c>
      <c r="O766" s="3" t="s">
        <v>25</v>
      </c>
    </row>
    <row r="767" spans="1:15">
      <c r="A767" s="3" t="s">
        <v>15</v>
      </c>
      <c r="B767" s="3" t="str">
        <f>"FES1162740292"</f>
        <v>FES1162740292</v>
      </c>
      <c r="C767" s="3" t="s">
        <v>410</v>
      </c>
      <c r="D767" s="3">
        <v>1</v>
      </c>
      <c r="E767" s="3" t="str">
        <f>"217073188"</f>
        <v>217073188</v>
      </c>
      <c r="F767" s="3" t="s">
        <v>17</v>
      </c>
      <c r="G767" s="3" t="s">
        <v>18</v>
      </c>
      <c r="H767" s="3" t="s">
        <v>18</v>
      </c>
      <c r="I767" s="3" t="s">
        <v>222</v>
      </c>
      <c r="J767" s="3" t="s">
        <v>397</v>
      </c>
      <c r="K767" s="3" t="s">
        <v>778</v>
      </c>
      <c r="L767" s="4">
        <v>0.34027777777777773</v>
      </c>
      <c r="M767" s="3" t="s">
        <v>806</v>
      </c>
      <c r="N767" s="3" t="s">
        <v>24</v>
      </c>
      <c r="O767" s="3" t="s">
        <v>25</v>
      </c>
    </row>
    <row r="768" spans="1:15">
      <c r="A768" s="3" t="s">
        <v>15</v>
      </c>
      <c r="B768" s="3" t="str">
        <f>"FES1162740280"</f>
        <v>FES1162740280</v>
      </c>
      <c r="C768" s="3" t="s">
        <v>410</v>
      </c>
      <c r="D768" s="3">
        <v>1</v>
      </c>
      <c r="E768" s="3" t="str">
        <f>"2170731874"</f>
        <v>2170731874</v>
      </c>
      <c r="F768" s="3" t="s">
        <v>17</v>
      </c>
      <c r="G768" s="3" t="s">
        <v>18</v>
      </c>
      <c r="H768" s="3" t="s">
        <v>18</v>
      </c>
      <c r="I768" s="3" t="s">
        <v>184</v>
      </c>
      <c r="J768" s="3" t="s">
        <v>185</v>
      </c>
      <c r="K768" s="3" t="s">
        <v>778</v>
      </c>
      <c r="L768" s="4">
        <v>0.4375</v>
      </c>
      <c r="M768" s="3" t="s">
        <v>208</v>
      </c>
      <c r="N768" s="3" t="s">
        <v>24</v>
      </c>
      <c r="O768" s="3" t="s">
        <v>25</v>
      </c>
    </row>
    <row r="769" spans="1:15">
      <c r="A769" s="3" t="s">
        <v>15</v>
      </c>
      <c r="B769" s="3" t="str">
        <f>"FES1162740298"</f>
        <v>FES1162740298</v>
      </c>
      <c r="C769" s="3" t="s">
        <v>410</v>
      </c>
      <c r="D769" s="3">
        <v>1</v>
      </c>
      <c r="E769" s="3" t="str">
        <f>"2170731895"</f>
        <v>2170731895</v>
      </c>
      <c r="F769" s="3" t="s">
        <v>17</v>
      </c>
      <c r="G769" s="3" t="s">
        <v>18</v>
      </c>
      <c r="H769" s="3" t="s">
        <v>18</v>
      </c>
      <c r="I769" s="3" t="s">
        <v>29</v>
      </c>
      <c r="J769" s="3" t="s">
        <v>307</v>
      </c>
      <c r="K769" s="3" t="s">
        <v>778</v>
      </c>
      <c r="L769" s="4">
        <v>0.32569444444444445</v>
      </c>
      <c r="M769" s="3" t="s">
        <v>308</v>
      </c>
      <c r="N769" s="3" t="s">
        <v>24</v>
      </c>
      <c r="O769" s="3" t="s">
        <v>25</v>
      </c>
    </row>
    <row r="770" spans="1:15">
      <c r="A770" s="3" t="s">
        <v>15</v>
      </c>
      <c r="B770" s="3" t="str">
        <f>"FES1162740204"</f>
        <v>FES1162740204</v>
      </c>
      <c r="C770" s="3" t="s">
        <v>410</v>
      </c>
      <c r="D770" s="3">
        <v>1</v>
      </c>
      <c r="E770" s="3" t="str">
        <f>"2170730517"</f>
        <v>2170730517</v>
      </c>
      <c r="F770" s="3" t="s">
        <v>17</v>
      </c>
      <c r="G770" s="3" t="s">
        <v>18</v>
      </c>
      <c r="H770" s="3" t="s">
        <v>366</v>
      </c>
      <c r="I770" s="3" t="s">
        <v>67</v>
      </c>
      <c r="J770" s="3" t="s">
        <v>543</v>
      </c>
      <c r="K770" s="3" t="s">
        <v>778</v>
      </c>
      <c r="L770" s="4">
        <v>0.4201388888888889</v>
      </c>
      <c r="M770" s="3" t="s">
        <v>881</v>
      </c>
      <c r="N770" s="3" t="s">
        <v>24</v>
      </c>
      <c r="O770" s="3" t="s">
        <v>25</v>
      </c>
    </row>
    <row r="771" spans="1:15">
      <c r="A771" s="3" t="s">
        <v>15</v>
      </c>
      <c r="B771" s="3" t="str">
        <f>"FES1162740266"</f>
        <v>FES1162740266</v>
      </c>
      <c r="C771" s="3" t="s">
        <v>410</v>
      </c>
      <c r="D771" s="3">
        <v>1</v>
      </c>
      <c r="E771" s="3" t="str">
        <f>"2170731858"</f>
        <v>2170731858</v>
      </c>
      <c r="F771" s="3" t="s">
        <v>17</v>
      </c>
      <c r="G771" s="3" t="s">
        <v>18</v>
      </c>
      <c r="H771" s="3" t="s">
        <v>18</v>
      </c>
      <c r="I771" s="3" t="s">
        <v>309</v>
      </c>
      <c r="J771" s="3" t="s">
        <v>882</v>
      </c>
      <c r="K771" s="3" t="s">
        <v>778</v>
      </c>
      <c r="L771" s="4">
        <v>0.30763888888888891</v>
      </c>
      <c r="M771" s="3" t="s">
        <v>883</v>
      </c>
      <c r="N771" s="3" t="s">
        <v>24</v>
      </c>
      <c r="O771" s="3" t="s">
        <v>25</v>
      </c>
    </row>
    <row r="772" spans="1:15">
      <c r="A772" s="3" t="s">
        <v>15</v>
      </c>
      <c r="B772" s="3" t="str">
        <f>"FES1162740260"</f>
        <v>FES1162740260</v>
      </c>
      <c r="C772" s="3" t="s">
        <v>410</v>
      </c>
      <c r="D772" s="3">
        <v>1</v>
      </c>
      <c r="E772" s="3" t="str">
        <f>"2170731850"</f>
        <v>2170731850</v>
      </c>
      <c r="F772" s="3" t="s">
        <v>17</v>
      </c>
      <c r="G772" s="3" t="s">
        <v>18</v>
      </c>
      <c r="H772" s="3" t="s">
        <v>18</v>
      </c>
      <c r="I772" s="3" t="s">
        <v>171</v>
      </c>
      <c r="J772" s="3" t="s">
        <v>197</v>
      </c>
      <c r="K772" s="3" t="s">
        <v>778</v>
      </c>
      <c r="L772" s="4">
        <v>0.35000000000000003</v>
      </c>
      <c r="M772" s="3" t="s">
        <v>198</v>
      </c>
      <c r="N772" s="3" t="s">
        <v>24</v>
      </c>
      <c r="O772" s="3" t="s">
        <v>25</v>
      </c>
    </row>
    <row r="773" spans="1:15">
      <c r="A773" s="3" t="s">
        <v>15</v>
      </c>
      <c r="B773" s="3" t="str">
        <f>"FES1162740305"</f>
        <v>FES1162740305</v>
      </c>
      <c r="C773" s="3" t="s">
        <v>410</v>
      </c>
      <c r="D773" s="3">
        <v>1</v>
      </c>
      <c r="E773" s="3" t="str">
        <f>"2170731902"</f>
        <v>2170731902</v>
      </c>
      <c r="F773" s="3" t="s">
        <v>17</v>
      </c>
      <c r="G773" s="3" t="s">
        <v>18</v>
      </c>
      <c r="H773" s="3" t="s">
        <v>18</v>
      </c>
      <c r="I773" s="3" t="s">
        <v>29</v>
      </c>
      <c r="J773" s="3" t="s">
        <v>307</v>
      </c>
      <c r="K773" s="3" t="s">
        <v>778</v>
      </c>
      <c r="L773" s="4">
        <v>0.32569444444444445</v>
      </c>
      <c r="M773" s="3" t="s">
        <v>308</v>
      </c>
      <c r="N773" s="3" t="s">
        <v>24</v>
      </c>
      <c r="O773" s="3" t="s">
        <v>25</v>
      </c>
    </row>
    <row r="774" spans="1:15">
      <c r="A774" s="3" t="s">
        <v>15</v>
      </c>
      <c r="B774" s="3" t="str">
        <f>"FES1162740309"</f>
        <v>FES1162740309</v>
      </c>
      <c r="C774" s="3" t="s">
        <v>410</v>
      </c>
      <c r="D774" s="3">
        <v>1</v>
      </c>
      <c r="E774" s="3" t="str">
        <f>"2170731908"</f>
        <v>2170731908</v>
      </c>
      <c r="F774" s="3" t="s">
        <v>17</v>
      </c>
      <c r="G774" s="3" t="s">
        <v>18</v>
      </c>
      <c r="H774" s="3" t="s">
        <v>18</v>
      </c>
      <c r="I774" s="3" t="s">
        <v>171</v>
      </c>
      <c r="J774" s="3" t="s">
        <v>884</v>
      </c>
      <c r="K774" s="3" t="s">
        <v>778</v>
      </c>
      <c r="L774" s="4">
        <v>0.3298611111111111</v>
      </c>
      <c r="M774" s="3" t="s">
        <v>232</v>
      </c>
      <c r="N774" s="3" t="s">
        <v>24</v>
      </c>
      <c r="O774" s="3" t="s">
        <v>25</v>
      </c>
    </row>
    <row r="775" spans="1:15">
      <c r="A775" s="3" t="s">
        <v>15</v>
      </c>
      <c r="B775" s="3" t="str">
        <f>"FES1162740209"</f>
        <v>FES1162740209</v>
      </c>
      <c r="C775" s="3" t="s">
        <v>410</v>
      </c>
      <c r="D775" s="3">
        <v>1</v>
      </c>
      <c r="E775" s="3" t="str">
        <f>"21707313459"</f>
        <v>21707313459</v>
      </c>
      <c r="F775" s="3" t="s">
        <v>17</v>
      </c>
      <c r="G775" s="3" t="s">
        <v>18</v>
      </c>
      <c r="H775" s="3" t="s">
        <v>70</v>
      </c>
      <c r="I775" s="3" t="s">
        <v>71</v>
      </c>
      <c r="J775" s="3" t="s">
        <v>392</v>
      </c>
      <c r="K775" s="3" t="s">
        <v>778</v>
      </c>
      <c r="L775" s="4">
        <v>0.55902777777777779</v>
      </c>
      <c r="M775" s="3" t="s">
        <v>885</v>
      </c>
      <c r="N775" s="3" t="s">
        <v>24</v>
      </c>
      <c r="O775" s="3" t="s">
        <v>25</v>
      </c>
    </row>
    <row r="776" spans="1:15">
      <c r="A776" s="3" t="s">
        <v>15</v>
      </c>
      <c r="B776" s="3" t="str">
        <f>"FES1162740210"</f>
        <v>FES1162740210</v>
      </c>
      <c r="C776" s="3" t="s">
        <v>410</v>
      </c>
      <c r="D776" s="3">
        <v>1</v>
      </c>
      <c r="E776" s="3" t="str">
        <f>"21707314131"</f>
        <v>21707314131</v>
      </c>
      <c r="F776" s="3" t="s">
        <v>17</v>
      </c>
      <c r="G776" s="3" t="s">
        <v>18</v>
      </c>
      <c r="H776" s="3" t="s">
        <v>70</v>
      </c>
      <c r="I776" s="3" t="s">
        <v>71</v>
      </c>
      <c r="J776" s="3" t="s">
        <v>243</v>
      </c>
      <c r="K776" s="3" t="s">
        <v>778</v>
      </c>
      <c r="L776" s="4">
        <v>0.38194444444444442</v>
      </c>
      <c r="M776" s="3" t="s">
        <v>779</v>
      </c>
      <c r="N776" s="3" t="s">
        <v>24</v>
      </c>
      <c r="O776" s="3" t="s">
        <v>25</v>
      </c>
    </row>
    <row r="777" spans="1:15">
      <c r="A777" s="3" t="s">
        <v>15</v>
      </c>
      <c r="B777" s="3" t="str">
        <f>"FES1162740143"</f>
        <v>FES1162740143</v>
      </c>
      <c r="C777" s="3" t="s">
        <v>410</v>
      </c>
      <c r="D777" s="3">
        <v>1</v>
      </c>
      <c r="E777" s="3" t="str">
        <f>"217073901442"</f>
        <v>217073901442</v>
      </c>
      <c r="F777" s="3" t="s">
        <v>17</v>
      </c>
      <c r="G777" s="3" t="s">
        <v>18</v>
      </c>
      <c r="H777" s="3" t="s">
        <v>886</v>
      </c>
      <c r="I777" s="3" t="s">
        <v>887</v>
      </c>
      <c r="J777" s="3" t="s">
        <v>888</v>
      </c>
      <c r="K777" s="3" t="s">
        <v>778</v>
      </c>
      <c r="L777" s="4">
        <v>0.41666666666666669</v>
      </c>
      <c r="M777" s="3" t="s">
        <v>889</v>
      </c>
      <c r="N777" s="3" t="s">
        <v>24</v>
      </c>
      <c r="O777" s="3" t="s">
        <v>25</v>
      </c>
    </row>
    <row r="778" spans="1:15">
      <c r="A778" s="3" t="s">
        <v>15</v>
      </c>
      <c r="B778" s="3" t="str">
        <f>"FES1162740215"</f>
        <v>FES1162740215</v>
      </c>
      <c r="C778" s="3" t="s">
        <v>410</v>
      </c>
      <c r="D778" s="3">
        <v>1</v>
      </c>
      <c r="E778" s="3" t="str">
        <f>"2170731794"</f>
        <v>2170731794</v>
      </c>
      <c r="F778" s="3" t="s">
        <v>17</v>
      </c>
      <c r="G778" s="3" t="s">
        <v>18</v>
      </c>
      <c r="H778" s="3" t="s">
        <v>19</v>
      </c>
      <c r="I778" s="3" t="s">
        <v>890</v>
      </c>
      <c r="J778" s="3" t="s">
        <v>891</v>
      </c>
      <c r="K778" s="3" t="s">
        <v>778</v>
      </c>
      <c r="L778" s="4">
        <v>0.39097222222222222</v>
      </c>
      <c r="M778" s="3" t="s">
        <v>892</v>
      </c>
      <c r="N778" s="3" t="s">
        <v>24</v>
      </c>
      <c r="O778" s="3" t="s">
        <v>25</v>
      </c>
    </row>
    <row r="779" spans="1:15">
      <c r="A779" s="3" t="s">
        <v>15</v>
      </c>
      <c r="B779" s="3" t="str">
        <f>"FES1162740195"</f>
        <v>FES1162740195</v>
      </c>
      <c r="C779" s="3" t="s">
        <v>410</v>
      </c>
      <c r="D779" s="3">
        <v>1</v>
      </c>
      <c r="E779" s="3" t="str">
        <f>"2170730456"</f>
        <v>2170730456</v>
      </c>
      <c r="F779" s="3" t="s">
        <v>17</v>
      </c>
      <c r="G779" s="3" t="s">
        <v>18</v>
      </c>
      <c r="H779" s="3" t="s">
        <v>19</v>
      </c>
      <c r="I779" s="3" t="s">
        <v>236</v>
      </c>
      <c r="J779" s="3" t="s">
        <v>257</v>
      </c>
      <c r="K779" s="3" t="s">
        <v>778</v>
      </c>
      <c r="L779" s="4">
        <v>0.33888888888888885</v>
      </c>
      <c r="M779" s="3" t="s">
        <v>819</v>
      </c>
      <c r="N779" s="3" t="s">
        <v>24</v>
      </c>
      <c r="O779" s="3" t="s">
        <v>25</v>
      </c>
    </row>
    <row r="780" spans="1:15">
      <c r="A780" s="3" t="s">
        <v>15</v>
      </c>
      <c r="B780" s="3" t="str">
        <f>"FES1162740212"</f>
        <v>FES1162740212</v>
      </c>
      <c r="C780" s="3" t="s">
        <v>410</v>
      </c>
      <c r="D780" s="3">
        <v>1</v>
      </c>
      <c r="E780" s="3" t="str">
        <f>"2170731553"</f>
        <v>2170731553</v>
      </c>
      <c r="F780" s="3" t="s">
        <v>17</v>
      </c>
      <c r="G780" s="3" t="s">
        <v>18</v>
      </c>
      <c r="H780" s="3" t="s">
        <v>534</v>
      </c>
      <c r="I780" s="3" t="s">
        <v>535</v>
      </c>
      <c r="J780" s="3" t="s">
        <v>536</v>
      </c>
      <c r="K780" s="3" t="s">
        <v>778</v>
      </c>
      <c r="L780" s="4">
        <v>0.39583333333333331</v>
      </c>
      <c r="M780" s="3" t="s">
        <v>232</v>
      </c>
      <c r="N780" s="3" t="s">
        <v>24</v>
      </c>
      <c r="O780" s="3" t="s">
        <v>25</v>
      </c>
    </row>
    <row r="781" spans="1:15">
      <c r="A781" s="3" t="s">
        <v>15</v>
      </c>
      <c r="B781" s="3" t="str">
        <f>"FES1162740179"</f>
        <v>FES1162740179</v>
      </c>
      <c r="C781" s="3" t="s">
        <v>410</v>
      </c>
      <c r="D781" s="3">
        <v>1</v>
      </c>
      <c r="E781" s="3" t="str">
        <f>"2170730285"</f>
        <v>2170730285</v>
      </c>
      <c r="F781" s="3" t="s">
        <v>17</v>
      </c>
      <c r="G781" s="3" t="s">
        <v>18</v>
      </c>
      <c r="H781" s="3" t="s">
        <v>19</v>
      </c>
      <c r="I781" s="3" t="s">
        <v>20</v>
      </c>
      <c r="J781" s="3" t="s">
        <v>60</v>
      </c>
      <c r="K781" s="3" t="s">
        <v>778</v>
      </c>
      <c r="L781" s="4">
        <v>0.30763888888888891</v>
      </c>
      <c r="M781" s="3" t="s">
        <v>893</v>
      </c>
      <c r="N781" s="3" t="s">
        <v>24</v>
      </c>
      <c r="O781" s="3" t="s">
        <v>25</v>
      </c>
    </row>
    <row r="782" spans="1:15">
      <c r="A782" s="3" t="s">
        <v>15</v>
      </c>
      <c r="B782" s="3" t="str">
        <f>"FES1162740106"</f>
        <v>FES1162740106</v>
      </c>
      <c r="C782" s="3" t="s">
        <v>410</v>
      </c>
      <c r="D782" s="3">
        <v>1</v>
      </c>
      <c r="E782" s="3" t="str">
        <f>"2170731764"</f>
        <v>2170731764</v>
      </c>
      <c r="F782" s="3" t="s">
        <v>17</v>
      </c>
      <c r="G782" s="3" t="s">
        <v>18</v>
      </c>
      <c r="H782" s="3" t="s">
        <v>534</v>
      </c>
      <c r="I782" s="3" t="s">
        <v>596</v>
      </c>
      <c r="J782" s="3" t="s">
        <v>597</v>
      </c>
      <c r="K782" s="3" t="s">
        <v>778</v>
      </c>
      <c r="L782" s="4">
        <v>0.39583333333333331</v>
      </c>
      <c r="M782" s="3" t="s">
        <v>598</v>
      </c>
      <c r="N782" s="3" t="s">
        <v>24</v>
      </c>
      <c r="O782" s="3" t="s">
        <v>25</v>
      </c>
    </row>
    <row r="783" spans="1:15">
      <c r="A783" s="3" t="s">
        <v>15</v>
      </c>
      <c r="B783" s="3" t="str">
        <f>"FES1162740124"</f>
        <v>FES1162740124</v>
      </c>
      <c r="C783" s="3" t="s">
        <v>410</v>
      </c>
      <c r="D783" s="3">
        <v>1</v>
      </c>
      <c r="E783" s="3" t="str">
        <f>"2170731780"</f>
        <v>2170731780</v>
      </c>
      <c r="F783" s="3" t="s">
        <v>17</v>
      </c>
      <c r="G783" s="3" t="s">
        <v>18</v>
      </c>
      <c r="H783" s="3" t="s">
        <v>19</v>
      </c>
      <c r="I783" s="3" t="s">
        <v>51</v>
      </c>
      <c r="J783" s="3" t="s">
        <v>91</v>
      </c>
      <c r="K783" s="3" t="s">
        <v>778</v>
      </c>
      <c r="L783" s="4">
        <v>0.42083333333333334</v>
      </c>
      <c r="M783" s="3" t="s">
        <v>92</v>
      </c>
      <c r="N783" s="3" t="s">
        <v>24</v>
      </c>
      <c r="O783" s="3" t="s">
        <v>25</v>
      </c>
    </row>
    <row r="784" spans="1:15">
      <c r="A784" s="3" t="s">
        <v>15</v>
      </c>
      <c r="B784" s="3" t="str">
        <f>"FES1162740237"</f>
        <v>FES1162740237</v>
      </c>
      <c r="C784" s="3" t="s">
        <v>410</v>
      </c>
      <c r="D784" s="3">
        <v>1</v>
      </c>
      <c r="E784" s="3" t="str">
        <f>"2170731824"</f>
        <v>2170731824</v>
      </c>
      <c r="F784" s="3" t="s">
        <v>17</v>
      </c>
      <c r="G784" s="3" t="s">
        <v>18</v>
      </c>
      <c r="H784" s="3" t="s">
        <v>100</v>
      </c>
      <c r="I784" s="3" t="s">
        <v>101</v>
      </c>
      <c r="J784" s="3" t="s">
        <v>894</v>
      </c>
      <c r="K784" s="3" t="s">
        <v>778</v>
      </c>
      <c r="L784" s="4">
        <v>0.3743055555555555</v>
      </c>
      <c r="M784" s="3" t="s">
        <v>895</v>
      </c>
      <c r="N784" s="3" t="s">
        <v>24</v>
      </c>
      <c r="O784" s="3" t="s">
        <v>25</v>
      </c>
    </row>
    <row r="785" spans="1:15">
      <c r="A785" s="3" t="s">
        <v>15</v>
      </c>
      <c r="B785" s="3" t="str">
        <f>"FES1162740187"</f>
        <v>FES1162740187</v>
      </c>
      <c r="C785" s="3" t="s">
        <v>410</v>
      </c>
      <c r="D785" s="3">
        <v>1</v>
      </c>
      <c r="E785" s="3" t="str">
        <f>"2170730370"</f>
        <v>2170730370</v>
      </c>
      <c r="F785" s="3" t="s">
        <v>17</v>
      </c>
      <c r="G785" s="3" t="s">
        <v>18</v>
      </c>
      <c r="H785" s="3" t="s">
        <v>18</v>
      </c>
      <c r="I785" s="3" t="s">
        <v>222</v>
      </c>
      <c r="J785" s="3" t="s">
        <v>716</v>
      </c>
      <c r="K785" s="3" t="s">
        <v>778</v>
      </c>
      <c r="L785" s="4">
        <v>0.4236111111111111</v>
      </c>
      <c r="M785" s="3" t="s">
        <v>806</v>
      </c>
      <c r="N785" s="3" t="s">
        <v>24</v>
      </c>
      <c r="O785" s="3" t="s">
        <v>25</v>
      </c>
    </row>
    <row r="786" spans="1:15">
      <c r="A786" s="3" t="s">
        <v>15</v>
      </c>
      <c r="B786" s="3" t="str">
        <f>"FES1162740135"</f>
        <v>FES1162740135</v>
      </c>
      <c r="C786" s="3" t="s">
        <v>410</v>
      </c>
      <c r="D786" s="3">
        <v>1</v>
      </c>
      <c r="E786" s="3" t="str">
        <f>"2170731788"</f>
        <v>2170731788</v>
      </c>
      <c r="F786" s="3" t="s">
        <v>17</v>
      </c>
      <c r="G786" s="3" t="s">
        <v>18</v>
      </c>
      <c r="H786" s="3" t="s">
        <v>18</v>
      </c>
      <c r="I786" s="3" t="s">
        <v>309</v>
      </c>
      <c r="J786" s="3" t="s">
        <v>278</v>
      </c>
      <c r="K786" s="3" t="s">
        <v>778</v>
      </c>
      <c r="L786" s="4">
        <v>0.375</v>
      </c>
      <c r="M786" s="3" t="s">
        <v>815</v>
      </c>
      <c r="N786" s="3" t="s">
        <v>24</v>
      </c>
      <c r="O786" s="3" t="s">
        <v>25</v>
      </c>
    </row>
    <row r="787" spans="1:15">
      <c r="A787" s="3" t="s">
        <v>15</v>
      </c>
      <c r="B787" s="3" t="str">
        <f>"FES1162740170"</f>
        <v>FES1162740170</v>
      </c>
      <c r="C787" s="3" t="s">
        <v>410</v>
      </c>
      <c r="D787" s="3">
        <v>1</v>
      </c>
      <c r="E787" s="3" t="str">
        <f>"2170730201"</f>
        <v>2170730201</v>
      </c>
      <c r="F787" s="3" t="s">
        <v>17</v>
      </c>
      <c r="G787" s="3" t="s">
        <v>18</v>
      </c>
      <c r="H787" s="3" t="s">
        <v>66</v>
      </c>
      <c r="I787" s="3" t="s">
        <v>67</v>
      </c>
      <c r="J787" s="3" t="s">
        <v>287</v>
      </c>
      <c r="K787" s="3" t="s">
        <v>778</v>
      </c>
      <c r="L787" s="4">
        <v>0.35486111111111113</v>
      </c>
      <c r="M787" s="3" t="s">
        <v>787</v>
      </c>
      <c r="N787" s="3" t="s">
        <v>24</v>
      </c>
      <c r="O787" s="3" t="s">
        <v>25</v>
      </c>
    </row>
    <row r="788" spans="1:15">
      <c r="A788" s="3" t="s">
        <v>15</v>
      </c>
      <c r="B788" s="3" t="str">
        <f>"FES1162740186"</f>
        <v>FES1162740186</v>
      </c>
      <c r="C788" s="3" t="s">
        <v>410</v>
      </c>
      <c r="D788" s="3">
        <v>1</v>
      </c>
      <c r="E788" s="3" t="str">
        <f>"2170730361"</f>
        <v>2170730361</v>
      </c>
      <c r="F788" s="3" t="s">
        <v>17</v>
      </c>
      <c r="G788" s="3" t="s">
        <v>18</v>
      </c>
      <c r="H788" s="3" t="s">
        <v>66</v>
      </c>
      <c r="I788" s="3" t="s">
        <v>67</v>
      </c>
      <c r="J788" s="3" t="s">
        <v>896</v>
      </c>
      <c r="K788" s="3" t="s">
        <v>778</v>
      </c>
      <c r="L788" s="4">
        <v>0.3611111111111111</v>
      </c>
      <c r="M788" s="3" t="s">
        <v>897</v>
      </c>
      <c r="N788" s="3" t="s">
        <v>24</v>
      </c>
      <c r="O788" s="3" t="s">
        <v>25</v>
      </c>
    </row>
    <row r="789" spans="1:15">
      <c r="A789" s="3" t="s">
        <v>15</v>
      </c>
      <c r="B789" s="3" t="str">
        <f>"FES1162740307"</f>
        <v>FES1162740307</v>
      </c>
      <c r="C789" s="3" t="s">
        <v>410</v>
      </c>
      <c r="D789" s="3">
        <v>1</v>
      </c>
      <c r="E789" s="3" t="str">
        <f>"2170731905"</f>
        <v>2170731905</v>
      </c>
      <c r="F789" s="3" t="s">
        <v>17</v>
      </c>
      <c r="G789" s="3" t="s">
        <v>18</v>
      </c>
      <c r="H789" s="3" t="s">
        <v>100</v>
      </c>
      <c r="I789" s="3" t="s">
        <v>101</v>
      </c>
      <c r="J789" s="3" t="s">
        <v>131</v>
      </c>
      <c r="K789" s="3" t="s">
        <v>778</v>
      </c>
      <c r="L789" s="4">
        <v>0.35486111111111113</v>
      </c>
      <c r="M789" s="3" t="s">
        <v>795</v>
      </c>
      <c r="N789" s="3" t="s">
        <v>24</v>
      </c>
      <c r="O789" s="3" t="s">
        <v>25</v>
      </c>
    </row>
    <row r="790" spans="1:15">
      <c r="A790" s="3" t="s">
        <v>15</v>
      </c>
      <c r="B790" s="3" t="str">
        <f>"FES1162740174"</f>
        <v>FES1162740174</v>
      </c>
      <c r="C790" s="3" t="s">
        <v>410</v>
      </c>
      <c r="D790" s="3">
        <v>1</v>
      </c>
      <c r="E790" s="3" t="str">
        <f>"2170730221"</f>
        <v>2170730221</v>
      </c>
      <c r="F790" s="3" t="s">
        <v>17</v>
      </c>
      <c r="G790" s="3" t="s">
        <v>18</v>
      </c>
      <c r="H790" s="3" t="s">
        <v>100</v>
      </c>
      <c r="I790" s="3" t="s">
        <v>101</v>
      </c>
      <c r="J790" s="3" t="s">
        <v>131</v>
      </c>
      <c r="K790" s="3" t="s">
        <v>778</v>
      </c>
      <c r="L790" s="4">
        <v>0.35555555555555557</v>
      </c>
      <c r="M790" s="3" t="s">
        <v>795</v>
      </c>
      <c r="N790" s="3" t="s">
        <v>24</v>
      </c>
      <c r="O790" s="3" t="s">
        <v>25</v>
      </c>
    </row>
    <row r="791" spans="1:15">
      <c r="A791" s="3" t="s">
        <v>15</v>
      </c>
      <c r="B791" s="3" t="str">
        <f>"FES1162740251"</f>
        <v>FES1162740251</v>
      </c>
      <c r="C791" s="3" t="s">
        <v>410</v>
      </c>
      <c r="D791" s="3">
        <v>2</v>
      </c>
      <c r="E791" s="3" t="str">
        <f>"2170731840"</f>
        <v>2170731840</v>
      </c>
      <c r="F791" s="3" t="s">
        <v>17</v>
      </c>
      <c r="G791" s="3" t="s">
        <v>18</v>
      </c>
      <c r="H791" s="3" t="s">
        <v>18</v>
      </c>
      <c r="I791" s="3" t="s">
        <v>33</v>
      </c>
      <c r="J791" s="3" t="s">
        <v>807</v>
      </c>
      <c r="K791" s="3" t="s">
        <v>778</v>
      </c>
      <c r="L791" s="4">
        <v>0.375</v>
      </c>
      <c r="M791" s="3" t="s">
        <v>730</v>
      </c>
      <c r="N791" s="3" t="s">
        <v>24</v>
      </c>
      <c r="O791" s="3" t="s">
        <v>25</v>
      </c>
    </row>
    <row r="792" spans="1:15">
      <c r="A792" s="3" t="s">
        <v>15</v>
      </c>
      <c r="B792" s="3" t="str">
        <f>"FES1162740252"</f>
        <v>FES1162740252</v>
      </c>
      <c r="C792" s="3" t="s">
        <v>410</v>
      </c>
      <c r="D792" s="3">
        <v>1</v>
      </c>
      <c r="E792" s="3" t="str">
        <f>"2170731841"</f>
        <v>2170731841</v>
      </c>
      <c r="F792" s="3" t="s">
        <v>17</v>
      </c>
      <c r="G792" s="3" t="s">
        <v>18</v>
      </c>
      <c r="H792" s="3" t="s">
        <v>18</v>
      </c>
      <c r="I792" s="3" t="s">
        <v>33</v>
      </c>
      <c r="J792" s="3" t="s">
        <v>807</v>
      </c>
      <c r="K792" s="3" t="s">
        <v>778</v>
      </c>
      <c r="L792" s="4">
        <v>0.375</v>
      </c>
      <c r="M792" s="3" t="s">
        <v>730</v>
      </c>
      <c r="N792" s="3" t="s">
        <v>24</v>
      </c>
      <c r="O792" s="3" t="s">
        <v>25</v>
      </c>
    </row>
    <row r="793" spans="1:15">
      <c r="A793" s="3" t="s">
        <v>15</v>
      </c>
      <c r="B793" s="3" t="str">
        <f>"FES1162740256"</f>
        <v>FES1162740256</v>
      </c>
      <c r="C793" s="3" t="s">
        <v>410</v>
      </c>
      <c r="D793" s="3">
        <v>1</v>
      </c>
      <c r="E793" s="3" t="str">
        <f>"2170731845"</f>
        <v>2170731845</v>
      </c>
      <c r="F793" s="3" t="s">
        <v>17</v>
      </c>
      <c r="G793" s="3" t="s">
        <v>18</v>
      </c>
      <c r="H793" s="3" t="s">
        <v>18</v>
      </c>
      <c r="I793" s="3" t="s">
        <v>33</v>
      </c>
      <c r="J793" s="3" t="s">
        <v>807</v>
      </c>
      <c r="K793" s="3" t="s">
        <v>778</v>
      </c>
      <c r="L793" s="4">
        <v>0.375</v>
      </c>
      <c r="M793" s="3" t="s">
        <v>730</v>
      </c>
      <c r="N793" s="3" t="s">
        <v>24</v>
      </c>
      <c r="O793" s="3" t="s">
        <v>25</v>
      </c>
    </row>
    <row r="794" spans="1:15">
      <c r="A794" s="3" t="s">
        <v>15</v>
      </c>
      <c r="B794" s="3" t="str">
        <f>"FES1162740297"</f>
        <v>FES1162740297</v>
      </c>
      <c r="C794" s="3" t="s">
        <v>410</v>
      </c>
      <c r="D794" s="3">
        <v>1</v>
      </c>
      <c r="E794" s="3" t="str">
        <f>"2170731894"</f>
        <v>2170731894</v>
      </c>
      <c r="F794" s="3" t="s">
        <v>17</v>
      </c>
      <c r="G794" s="3" t="s">
        <v>18</v>
      </c>
      <c r="H794" s="3" t="s">
        <v>100</v>
      </c>
      <c r="I794" s="3" t="s">
        <v>101</v>
      </c>
      <c r="J794" s="3" t="s">
        <v>898</v>
      </c>
      <c r="K794" s="3" t="s">
        <v>778</v>
      </c>
      <c r="L794" s="4">
        <v>0.41666666666666669</v>
      </c>
      <c r="M794" s="3" t="s">
        <v>899</v>
      </c>
      <c r="N794" s="3" t="s">
        <v>24</v>
      </c>
      <c r="O794" s="3" t="s">
        <v>25</v>
      </c>
    </row>
    <row r="795" spans="1:15">
      <c r="A795" s="3" t="s">
        <v>15</v>
      </c>
      <c r="B795" s="3" t="str">
        <f>"FES1162274296"</f>
        <v>FES1162274296</v>
      </c>
      <c r="C795" s="3" t="s">
        <v>410</v>
      </c>
      <c r="D795" s="3">
        <v>1</v>
      </c>
      <c r="E795" s="3" t="str">
        <f>"2170731892"</f>
        <v>2170731892</v>
      </c>
      <c r="F795" s="3" t="s">
        <v>17</v>
      </c>
      <c r="G795" s="3" t="s">
        <v>18</v>
      </c>
      <c r="H795" s="3" t="s">
        <v>100</v>
      </c>
      <c r="I795" s="3" t="s">
        <v>101</v>
      </c>
      <c r="J795" s="3" t="s">
        <v>137</v>
      </c>
      <c r="K795" s="3" t="s">
        <v>778</v>
      </c>
      <c r="L795" s="4">
        <v>0.41944444444444445</v>
      </c>
      <c r="M795" s="3" t="s">
        <v>371</v>
      </c>
      <c r="N795" s="3" t="s">
        <v>24</v>
      </c>
      <c r="O795" s="3" t="s">
        <v>25</v>
      </c>
    </row>
    <row r="796" spans="1:15">
      <c r="A796" s="3" t="s">
        <v>15</v>
      </c>
      <c r="B796" s="3" t="str">
        <f>"FES1162740289"</f>
        <v>FES1162740289</v>
      </c>
      <c r="C796" s="3" t="s">
        <v>410</v>
      </c>
      <c r="D796" s="3">
        <v>1</v>
      </c>
      <c r="E796" s="3" t="str">
        <f>"21707318883"</f>
        <v>21707318883</v>
      </c>
      <c r="F796" s="3" t="s">
        <v>17</v>
      </c>
      <c r="G796" s="3" t="s">
        <v>18</v>
      </c>
      <c r="H796" s="3" t="s">
        <v>18</v>
      </c>
      <c r="I796" s="3" t="s">
        <v>222</v>
      </c>
      <c r="J796" s="3" t="s">
        <v>397</v>
      </c>
      <c r="K796" s="3" t="s">
        <v>778</v>
      </c>
      <c r="L796" s="4">
        <v>0.34027777777777773</v>
      </c>
      <c r="M796" s="3" t="s">
        <v>806</v>
      </c>
      <c r="N796" s="3" t="s">
        <v>24</v>
      </c>
      <c r="O796" s="3" t="s">
        <v>25</v>
      </c>
    </row>
    <row r="797" spans="1:15">
      <c r="A797" s="3" t="s">
        <v>15</v>
      </c>
      <c r="B797" s="3" t="str">
        <f>"FES1162740286"</f>
        <v>FES1162740286</v>
      </c>
      <c r="C797" s="3" t="s">
        <v>410</v>
      </c>
      <c r="D797" s="3">
        <v>1</v>
      </c>
      <c r="E797" s="3" t="str">
        <f>"21707318802"</f>
        <v>21707318802</v>
      </c>
      <c r="F797" s="3" t="s">
        <v>17</v>
      </c>
      <c r="G797" s="3" t="s">
        <v>18</v>
      </c>
      <c r="H797" s="3" t="s">
        <v>18</v>
      </c>
      <c r="I797" s="3" t="s">
        <v>222</v>
      </c>
      <c r="J797" s="3" t="s">
        <v>716</v>
      </c>
      <c r="K797" s="3" t="s">
        <v>778</v>
      </c>
      <c r="L797" s="4">
        <v>0.4236111111111111</v>
      </c>
      <c r="M797" s="3" t="s">
        <v>182</v>
      </c>
      <c r="N797" s="3" t="s">
        <v>24</v>
      </c>
      <c r="O797" s="3" t="s">
        <v>25</v>
      </c>
    </row>
    <row r="798" spans="1:15">
      <c r="A798" s="3" t="s">
        <v>15</v>
      </c>
      <c r="B798" s="3" t="str">
        <f>"FES1162740189"</f>
        <v>FES1162740189</v>
      </c>
      <c r="C798" s="3" t="s">
        <v>410</v>
      </c>
      <c r="D798" s="3">
        <v>1</v>
      </c>
      <c r="E798" s="3" t="str">
        <f>"2170730392"</f>
        <v>2170730392</v>
      </c>
      <c r="F798" s="3" t="s">
        <v>17</v>
      </c>
      <c r="G798" s="3" t="s">
        <v>18</v>
      </c>
      <c r="H798" s="3" t="s">
        <v>18</v>
      </c>
      <c r="I798" s="3" t="s">
        <v>341</v>
      </c>
      <c r="J798" s="3" t="s">
        <v>900</v>
      </c>
      <c r="K798" s="3" t="s">
        <v>778</v>
      </c>
      <c r="L798" s="4">
        <v>0.45833333333333331</v>
      </c>
      <c r="M798" s="3" t="s">
        <v>268</v>
      </c>
      <c r="N798" s="3" t="s">
        <v>24</v>
      </c>
      <c r="O798" s="3" t="s">
        <v>25</v>
      </c>
    </row>
    <row r="799" spans="1:15">
      <c r="A799" s="3" t="s">
        <v>15</v>
      </c>
      <c r="B799" s="3" t="str">
        <f>"FES1162740310"</f>
        <v>FES1162740310</v>
      </c>
      <c r="C799" s="3" t="s">
        <v>410</v>
      </c>
      <c r="D799" s="3">
        <v>1</v>
      </c>
      <c r="E799" s="3" t="str">
        <f>"2170731910"</f>
        <v>2170731910</v>
      </c>
      <c r="F799" s="3" t="s">
        <v>17</v>
      </c>
      <c r="G799" s="3" t="s">
        <v>18</v>
      </c>
      <c r="H799" s="3" t="s">
        <v>100</v>
      </c>
      <c r="I799" s="3" t="s">
        <v>101</v>
      </c>
      <c r="J799" s="3" t="s">
        <v>296</v>
      </c>
      <c r="K799" s="3" t="s">
        <v>778</v>
      </c>
      <c r="L799" s="4">
        <v>0.39305555555555555</v>
      </c>
      <c r="M799" s="3" t="s">
        <v>901</v>
      </c>
      <c r="N799" s="3" t="s">
        <v>24</v>
      </c>
      <c r="O799" s="3" t="s">
        <v>25</v>
      </c>
    </row>
    <row r="800" spans="1:15">
      <c r="A800" s="3" t="s">
        <v>15</v>
      </c>
      <c r="B800" s="3" t="str">
        <f>"FES1162740291"</f>
        <v>FES1162740291</v>
      </c>
      <c r="C800" s="3" t="s">
        <v>410</v>
      </c>
      <c r="D800" s="3">
        <v>1</v>
      </c>
      <c r="E800" s="3" t="str">
        <f>"2170731887"</f>
        <v>2170731887</v>
      </c>
      <c r="F800" s="3" t="s">
        <v>17</v>
      </c>
      <c r="G800" s="3" t="s">
        <v>18</v>
      </c>
      <c r="H800" s="3" t="s">
        <v>18</v>
      </c>
      <c r="I800" s="3" t="s">
        <v>222</v>
      </c>
      <c r="J800" s="3" t="s">
        <v>397</v>
      </c>
      <c r="K800" s="3" t="s">
        <v>778</v>
      </c>
      <c r="L800" s="4">
        <v>0.34027777777777773</v>
      </c>
      <c r="M800" s="3" t="s">
        <v>806</v>
      </c>
      <c r="N800" s="3" t="s">
        <v>24</v>
      </c>
      <c r="O800" s="3" t="s">
        <v>25</v>
      </c>
    </row>
    <row r="801" spans="1:15">
      <c r="A801" s="3" t="s">
        <v>15</v>
      </c>
      <c r="B801" s="3" t="str">
        <f>"FES1162740321"</f>
        <v>FES1162740321</v>
      </c>
      <c r="C801" s="3" t="s">
        <v>410</v>
      </c>
      <c r="D801" s="3">
        <v>1</v>
      </c>
      <c r="E801" s="3" t="str">
        <f>"2170731930"</f>
        <v>2170731930</v>
      </c>
      <c r="F801" s="3" t="s">
        <v>17</v>
      </c>
      <c r="G801" s="3" t="s">
        <v>18</v>
      </c>
      <c r="H801" s="3" t="s">
        <v>46</v>
      </c>
      <c r="I801" s="3" t="s">
        <v>47</v>
      </c>
      <c r="J801" s="3" t="s">
        <v>62</v>
      </c>
      <c r="K801" s="3" t="s">
        <v>778</v>
      </c>
      <c r="L801" s="4">
        <v>0.43333333333333335</v>
      </c>
      <c r="M801" s="3" t="s">
        <v>859</v>
      </c>
      <c r="N801" s="3" t="s">
        <v>24</v>
      </c>
      <c r="O801" s="3" t="s">
        <v>25</v>
      </c>
    </row>
    <row r="802" spans="1:15">
      <c r="A802" s="3" t="s">
        <v>15</v>
      </c>
      <c r="B802" s="3" t="str">
        <f>"FES1162740290"</f>
        <v>FES1162740290</v>
      </c>
      <c r="C802" s="3" t="s">
        <v>410</v>
      </c>
      <c r="D802" s="3">
        <v>1</v>
      </c>
      <c r="E802" s="3" t="str">
        <f>"2170731886"</f>
        <v>2170731886</v>
      </c>
      <c r="F802" s="3" t="s">
        <v>17</v>
      </c>
      <c r="G802" s="3" t="s">
        <v>18</v>
      </c>
      <c r="H802" s="3" t="s">
        <v>18</v>
      </c>
      <c r="I802" s="3" t="s">
        <v>222</v>
      </c>
      <c r="J802" s="3" t="s">
        <v>397</v>
      </c>
      <c r="K802" s="3" t="s">
        <v>778</v>
      </c>
      <c r="L802" s="4">
        <v>0.34027777777777773</v>
      </c>
      <c r="M802" s="3" t="s">
        <v>806</v>
      </c>
      <c r="N802" s="3" t="s">
        <v>24</v>
      </c>
      <c r="O802" s="3" t="s">
        <v>25</v>
      </c>
    </row>
    <row r="803" spans="1:15">
      <c r="A803" s="3" t="s">
        <v>15</v>
      </c>
      <c r="B803" s="3" t="str">
        <f>"FES1162740308"</f>
        <v>FES1162740308</v>
      </c>
      <c r="C803" s="3" t="s">
        <v>410</v>
      </c>
      <c r="D803" s="3">
        <v>1</v>
      </c>
      <c r="E803" s="3" t="str">
        <f>"2170731907"</f>
        <v>2170731907</v>
      </c>
      <c r="F803" s="3" t="s">
        <v>17</v>
      </c>
      <c r="G803" s="3" t="s">
        <v>18</v>
      </c>
      <c r="H803" s="3" t="s">
        <v>100</v>
      </c>
      <c r="I803" s="3" t="s">
        <v>101</v>
      </c>
      <c r="J803" s="3" t="s">
        <v>296</v>
      </c>
      <c r="K803" s="3" t="s">
        <v>778</v>
      </c>
      <c r="L803" s="4">
        <v>0.39305555555555555</v>
      </c>
      <c r="M803" s="3" t="s">
        <v>901</v>
      </c>
      <c r="N803" s="3" t="s">
        <v>24</v>
      </c>
      <c r="O803" s="3" t="s">
        <v>25</v>
      </c>
    </row>
    <row r="804" spans="1:15">
      <c r="A804" s="3" t="s">
        <v>15</v>
      </c>
      <c r="B804" s="3" t="str">
        <f>"RFES11627398861"</f>
        <v>RFES11627398861</v>
      </c>
      <c r="C804" s="3" t="s">
        <v>410</v>
      </c>
      <c r="D804" s="3">
        <v>1</v>
      </c>
      <c r="E804" s="3" t="str">
        <f>"2170731513"</f>
        <v>2170731513</v>
      </c>
      <c r="F804" s="3" t="s">
        <v>17</v>
      </c>
      <c r="G804" s="3" t="s">
        <v>18</v>
      </c>
      <c r="H804" s="3" t="s">
        <v>18</v>
      </c>
      <c r="I804" s="3" t="s">
        <v>29</v>
      </c>
      <c r="J804" s="3" t="s">
        <v>30</v>
      </c>
      <c r="K804" s="3" t="s">
        <v>778</v>
      </c>
      <c r="L804" s="4">
        <v>0.35694444444444445</v>
      </c>
      <c r="M804" s="3" t="s">
        <v>31</v>
      </c>
      <c r="N804" s="3" t="s">
        <v>24</v>
      </c>
      <c r="O804" s="3" t="s">
        <v>25</v>
      </c>
    </row>
    <row r="805" spans="1:15">
      <c r="A805" s="3" t="s">
        <v>15</v>
      </c>
      <c r="B805" s="3" t="str">
        <f>"FES1162740332"</f>
        <v>FES1162740332</v>
      </c>
      <c r="C805" s="3" t="s">
        <v>410</v>
      </c>
      <c r="D805" s="3">
        <v>1</v>
      </c>
      <c r="E805" s="3" t="str">
        <f>"2170727882"</f>
        <v>2170727882</v>
      </c>
      <c r="F805" s="3" t="s">
        <v>17</v>
      </c>
      <c r="G805" s="3" t="s">
        <v>18</v>
      </c>
      <c r="H805" s="3" t="s">
        <v>36</v>
      </c>
      <c r="I805" s="3" t="s">
        <v>37</v>
      </c>
      <c r="J805" s="3" t="s">
        <v>902</v>
      </c>
      <c r="K805" s="3" t="s">
        <v>778</v>
      </c>
      <c r="L805" s="4">
        <v>0.40347222222222223</v>
      </c>
      <c r="M805" s="3" t="s">
        <v>210</v>
      </c>
      <c r="N805" s="3" t="s">
        <v>24</v>
      </c>
      <c r="O805" s="3" t="s">
        <v>25</v>
      </c>
    </row>
    <row r="806" spans="1:15">
      <c r="A806" s="3" t="s">
        <v>15</v>
      </c>
      <c r="B806" s="3" t="str">
        <f>"FES1162740354"</f>
        <v>FES1162740354</v>
      </c>
      <c r="C806" s="3" t="s">
        <v>410</v>
      </c>
      <c r="D806" s="3">
        <v>1</v>
      </c>
      <c r="E806" s="3" t="str">
        <f>"2170731947"</f>
        <v>2170731947</v>
      </c>
      <c r="F806" s="3" t="s">
        <v>17</v>
      </c>
      <c r="G806" s="3" t="s">
        <v>18</v>
      </c>
      <c r="H806" s="3" t="s">
        <v>18</v>
      </c>
      <c r="I806" s="3" t="s">
        <v>903</v>
      </c>
      <c r="J806" s="3" t="s">
        <v>904</v>
      </c>
      <c r="K806" s="3" t="s">
        <v>778</v>
      </c>
      <c r="L806" s="4">
        <v>0.37013888888888885</v>
      </c>
      <c r="M806" s="3" t="s">
        <v>905</v>
      </c>
      <c r="N806" s="3" t="s">
        <v>24</v>
      </c>
      <c r="O806" s="3" t="s">
        <v>25</v>
      </c>
    </row>
    <row r="807" spans="1:15">
      <c r="A807" s="3" t="s">
        <v>15</v>
      </c>
      <c r="B807" s="3" t="str">
        <f>"FES1162740325"</f>
        <v>FES1162740325</v>
      </c>
      <c r="C807" s="3" t="s">
        <v>410</v>
      </c>
      <c r="D807" s="3">
        <v>1</v>
      </c>
      <c r="E807" s="3" t="str">
        <f>"2170727112"</f>
        <v>2170727112</v>
      </c>
      <c r="F807" s="3" t="s">
        <v>17</v>
      </c>
      <c r="G807" s="3" t="s">
        <v>18</v>
      </c>
      <c r="H807" s="3" t="s">
        <v>66</v>
      </c>
      <c r="I807" s="3" t="s">
        <v>67</v>
      </c>
      <c r="J807" s="3" t="s">
        <v>906</v>
      </c>
      <c r="K807" s="3" t="s">
        <v>778</v>
      </c>
      <c r="L807" s="4">
        <v>0.40625</v>
      </c>
      <c r="M807" s="3" t="s">
        <v>907</v>
      </c>
      <c r="N807" s="3" t="s">
        <v>24</v>
      </c>
      <c r="O807" s="3" t="s">
        <v>25</v>
      </c>
    </row>
    <row r="808" spans="1:15">
      <c r="A808" s="3" t="s">
        <v>15</v>
      </c>
      <c r="B808" s="3" t="str">
        <f>"FES1162740324"</f>
        <v>FES1162740324</v>
      </c>
      <c r="C808" s="3" t="s">
        <v>410</v>
      </c>
      <c r="D808" s="3">
        <v>1</v>
      </c>
      <c r="E808" s="3" t="str">
        <f>"2170730508"</f>
        <v>2170730508</v>
      </c>
      <c r="F808" s="3" t="s">
        <v>17</v>
      </c>
      <c r="G808" s="3" t="s">
        <v>18</v>
      </c>
      <c r="H808" s="3" t="s">
        <v>66</v>
      </c>
      <c r="I808" s="3" t="s">
        <v>67</v>
      </c>
      <c r="J808" s="3" t="s">
        <v>578</v>
      </c>
      <c r="K808" s="3" t="s">
        <v>778</v>
      </c>
      <c r="L808" s="4">
        <v>0.38194444444444442</v>
      </c>
      <c r="M808" s="3" t="s">
        <v>908</v>
      </c>
      <c r="N808" s="3" t="s">
        <v>24</v>
      </c>
      <c r="O808" s="3" t="s">
        <v>25</v>
      </c>
    </row>
    <row r="809" spans="1:15">
      <c r="A809" s="3" t="s">
        <v>15</v>
      </c>
      <c r="B809" s="3" t="str">
        <f>"FES1162740330"</f>
        <v>FES1162740330</v>
      </c>
      <c r="C809" s="3" t="s">
        <v>410</v>
      </c>
      <c r="D809" s="3">
        <v>1</v>
      </c>
      <c r="E809" s="3" t="str">
        <f>"2170731937"</f>
        <v>2170731937</v>
      </c>
      <c r="F809" s="3" t="s">
        <v>17</v>
      </c>
      <c r="G809" s="3" t="s">
        <v>18</v>
      </c>
      <c r="H809" s="3" t="s">
        <v>18</v>
      </c>
      <c r="I809" s="3" t="s">
        <v>151</v>
      </c>
      <c r="J809" s="3" t="s">
        <v>546</v>
      </c>
      <c r="K809" s="3" t="s">
        <v>778</v>
      </c>
      <c r="L809" s="4">
        <v>0.33333333333333331</v>
      </c>
      <c r="M809" s="3" t="s">
        <v>909</v>
      </c>
      <c r="N809" s="3" t="s">
        <v>24</v>
      </c>
      <c r="O809" s="3" t="s">
        <v>25</v>
      </c>
    </row>
    <row r="810" spans="1:15">
      <c r="A810" s="3" t="s">
        <v>15</v>
      </c>
      <c r="B810" s="3" t="str">
        <f>"FES1162740344"</f>
        <v>FES1162740344</v>
      </c>
      <c r="C810" s="3" t="s">
        <v>410</v>
      </c>
      <c r="D810" s="3">
        <v>1</v>
      </c>
      <c r="E810" s="3" t="str">
        <f>"2170731941"</f>
        <v>2170731941</v>
      </c>
      <c r="F810" s="3" t="s">
        <v>17</v>
      </c>
      <c r="G810" s="3" t="s">
        <v>18</v>
      </c>
      <c r="H810" s="3" t="s">
        <v>18</v>
      </c>
      <c r="I810" s="3" t="s">
        <v>309</v>
      </c>
      <c r="J810" s="3" t="s">
        <v>910</v>
      </c>
      <c r="K810" s="3" t="s">
        <v>778</v>
      </c>
      <c r="L810" s="4">
        <v>0.3840277777777778</v>
      </c>
      <c r="M810" s="3" t="s">
        <v>911</v>
      </c>
      <c r="N810" s="3" t="s">
        <v>24</v>
      </c>
      <c r="O810" s="3" t="s">
        <v>25</v>
      </c>
    </row>
    <row r="811" spans="1:15">
      <c r="A811" s="3" t="s">
        <v>15</v>
      </c>
      <c r="B811" s="3" t="str">
        <f>"FES1162740363"</f>
        <v>FES1162740363</v>
      </c>
      <c r="C811" s="3" t="s">
        <v>410</v>
      </c>
      <c r="D811" s="3">
        <v>1</v>
      </c>
      <c r="E811" s="3" t="str">
        <f>"2170731962"</f>
        <v>2170731962</v>
      </c>
      <c r="F811" s="3" t="s">
        <v>17</v>
      </c>
      <c r="G811" s="3" t="s">
        <v>18</v>
      </c>
      <c r="H811" s="3" t="s">
        <v>18</v>
      </c>
      <c r="I811" s="3" t="s">
        <v>171</v>
      </c>
      <c r="J811" s="3" t="s">
        <v>197</v>
      </c>
      <c r="K811" s="3" t="s">
        <v>778</v>
      </c>
      <c r="L811" s="4">
        <v>0.35069444444444442</v>
      </c>
      <c r="M811" s="3" t="s">
        <v>198</v>
      </c>
      <c r="N811" s="3" t="s">
        <v>24</v>
      </c>
      <c r="O811" s="3" t="s">
        <v>25</v>
      </c>
    </row>
    <row r="812" spans="1:15">
      <c r="A812" s="3" t="s">
        <v>15</v>
      </c>
      <c r="B812" s="3" t="str">
        <f>"FES1162740334"</f>
        <v>FES1162740334</v>
      </c>
      <c r="C812" s="3" t="s">
        <v>410</v>
      </c>
      <c r="D812" s="3">
        <v>1</v>
      </c>
      <c r="E812" s="3" t="str">
        <f>"2170728433"</f>
        <v>2170728433</v>
      </c>
      <c r="F812" s="3" t="s">
        <v>17</v>
      </c>
      <c r="G812" s="3" t="s">
        <v>18</v>
      </c>
      <c r="H812" s="3" t="s">
        <v>18</v>
      </c>
      <c r="I812" s="3" t="s">
        <v>29</v>
      </c>
      <c r="J812" s="3" t="s">
        <v>465</v>
      </c>
      <c r="K812" s="3" t="s">
        <v>778</v>
      </c>
      <c r="L812" s="4">
        <v>0.33680555555555558</v>
      </c>
      <c r="M812" s="3" t="s">
        <v>912</v>
      </c>
      <c r="N812" s="3" t="s">
        <v>24</v>
      </c>
      <c r="O812" s="3" t="s">
        <v>25</v>
      </c>
    </row>
    <row r="813" spans="1:15">
      <c r="A813" s="3" t="s">
        <v>15</v>
      </c>
      <c r="B813" s="3" t="str">
        <f>"FES1162740352"</f>
        <v>FES1162740352</v>
      </c>
      <c r="C813" s="3" t="s">
        <v>410</v>
      </c>
      <c r="D813" s="3">
        <v>1</v>
      </c>
      <c r="E813" s="3" t="str">
        <f>"2170729884"</f>
        <v>2170729884</v>
      </c>
      <c r="F813" s="3" t="s">
        <v>17</v>
      </c>
      <c r="G813" s="3" t="s">
        <v>18</v>
      </c>
      <c r="H813" s="3" t="s">
        <v>18</v>
      </c>
      <c r="I813" s="3" t="s">
        <v>291</v>
      </c>
      <c r="J813" s="3" t="s">
        <v>913</v>
      </c>
      <c r="K813" s="3" t="s">
        <v>778</v>
      </c>
      <c r="L813" s="4">
        <v>0.33333333333333331</v>
      </c>
      <c r="M813" s="3" t="s">
        <v>914</v>
      </c>
      <c r="N813" s="3" t="s">
        <v>24</v>
      </c>
      <c r="O813" s="3" t="s">
        <v>25</v>
      </c>
    </row>
    <row r="814" spans="1:15">
      <c r="A814" s="3" t="s">
        <v>15</v>
      </c>
      <c r="B814" s="3" t="str">
        <f>"FES1162740293"</f>
        <v>FES1162740293</v>
      </c>
      <c r="C814" s="3" t="s">
        <v>410</v>
      </c>
      <c r="D814" s="3">
        <v>1</v>
      </c>
      <c r="E814" s="3" t="str">
        <f>"2170731889"</f>
        <v>2170731889</v>
      </c>
      <c r="F814" s="3" t="s">
        <v>17</v>
      </c>
      <c r="G814" s="3" t="s">
        <v>18</v>
      </c>
      <c r="H814" s="3" t="s">
        <v>18</v>
      </c>
      <c r="I814" s="3" t="s">
        <v>29</v>
      </c>
      <c r="J814" s="3" t="s">
        <v>915</v>
      </c>
      <c r="K814" s="3" t="s">
        <v>778</v>
      </c>
      <c r="L814" s="4">
        <v>0.2986111111111111</v>
      </c>
      <c r="M814" s="3" t="s">
        <v>916</v>
      </c>
      <c r="N814" s="3" t="s">
        <v>24</v>
      </c>
      <c r="O814" s="3" t="s">
        <v>25</v>
      </c>
    </row>
    <row r="815" spans="1:15">
      <c r="A815" s="3" t="s">
        <v>15</v>
      </c>
      <c r="B815" s="3" t="str">
        <f>"FES1162740328"</f>
        <v>FES1162740328</v>
      </c>
      <c r="C815" s="3" t="s">
        <v>410</v>
      </c>
      <c r="D815" s="3">
        <v>1</v>
      </c>
      <c r="E815" s="3" t="str">
        <f>"2170731548"</f>
        <v>2170731548</v>
      </c>
      <c r="F815" s="3" t="s">
        <v>17</v>
      </c>
      <c r="G815" s="3" t="s">
        <v>18</v>
      </c>
      <c r="H815" s="3" t="s">
        <v>18</v>
      </c>
      <c r="I815" s="3" t="s">
        <v>33</v>
      </c>
      <c r="J815" s="3" t="s">
        <v>917</v>
      </c>
      <c r="K815" s="3" t="s">
        <v>778</v>
      </c>
      <c r="L815" s="4">
        <v>0.36874999999999997</v>
      </c>
      <c r="M815" s="3" t="s">
        <v>918</v>
      </c>
      <c r="N815" s="3" t="s">
        <v>24</v>
      </c>
      <c r="O815" s="3" t="s">
        <v>25</v>
      </c>
    </row>
    <row r="816" spans="1:15">
      <c r="A816" s="3" t="s">
        <v>15</v>
      </c>
      <c r="B816" s="3" t="str">
        <f>"FES1162740322"</f>
        <v>FES1162740322</v>
      </c>
      <c r="C816" s="3" t="s">
        <v>410</v>
      </c>
      <c r="D816" s="3">
        <v>1</v>
      </c>
      <c r="E816" s="3" t="str">
        <f>"2170731931"</f>
        <v>2170731931</v>
      </c>
      <c r="F816" s="3" t="s">
        <v>17</v>
      </c>
      <c r="G816" s="3" t="s">
        <v>18</v>
      </c>
      <c r="H816" s="3" t="s">
        <v>100</v>
      </c>
      <c r="I816" s="3" t="s">
        <v>101</v>
      </c>
      <c r="J816" s="3" t="s">
        <v>284</v>
      </c>
      <c r="K816" s="3" t="s">
        <v>778</v>
      </c>
      <c r="L816" s="4">
        <v>0.38819444444444445</v>
      </c>
      <c r="M816" s="3" t="s">
        <v>919</v>
      </c>
      <c r="N816" s="3" t="s">
        <v>24</v>
      </c>
      <c r="O816" s="3" t="s">
        <v>25</v>
      </c>
    </row>
    <row r="817" spans="1:15">
      <c r="A817" s="3" t="s">
        <v>15</v>
      </c>
      <c r="B817" s="3" t="str">
        <f>"FES1162740366"</f>
        <v>FES1162740366</v>
      </c>
      <c r="C817" s="3" t="s">
        <v>410</v>
      </c>
      <c r="D817" s="3">
        <v>1</v>
      </c>
      <c r="E817" s="3" t="str">
        <f>"2170731965"</f>
        <v>2170731965</v>
      </c>
      <c r="F817" s="3" t="s">
        <v>17</v>
      </c>
      <c r="G817" s="3" t="s">
        <v>18</v>
      </c>
      <c r="H817" s="3" t="s">
        <v>100</v>
      </c>
      <c r="I817" s="3" t="s">
        <v>101</v>
      </c>
      <c r="J817" s="3" t="s">
        <v>265</v>
      </c>
      <c r="K817" s="3" t="s">
        <v>778</v>
      </c>
      <c r="L817" s="4">
        <v>0.32500000000000001</v>
      </c>
      <c r="M817" s="3" t="s">
        <v>266</v>
      </c>
      <c r="N817" s="3" t="s">
        <v>24</v>
      </c>
      <c r="O817" s="3" t="s">
        <v>25</v>
      </c>
    </row>
    <row r="818" spans="1:15">
      <c r="A818" s="3" t="s">
        <v>15</v>
      </c>
      <c r="B818" s="3" t="str">
        <f>"FES1162740340"</f>
        <v>FES1162740340</v>
      </c>
      <c r="C818" s="3" t="s">
        <v>410</v>
      </c>
      <c r="D818" s="3">
        <v>1</v>
      </c>
      <c r="E818" s="3" t="str">
        <f>"2170731647"</f>
        <v>2170731647</v>
      </c>
      <c r="F818" s="3" t="s">
        <v>17</v>
      </c>
      <c r="G818" s="3" t="s">
        <v>18</v>
      </c>
      <c r="H818" s="3" t="s">
        <v>36</v>
      </c>
      <c r="I818" s="3" t="s">
        <v>37</v>
      </c>
      <c r="J818" s="3" t="s">
        <v>434</v>
      </c>
      <c r="K818" s="3" t="s">
        <v>778</v>
      </c>
      <c r="L818" s="4">
        <v>0.35625000000000001</v>
      </c>
      <c r="M818" s="3" t="s">
        <v>920</v>
      </c>
      <c r="N818" s="3" t="s">
        <v>24</v>
      </c>
      <c r="O818" s="3" t="s">
        <v>25</v>
      </c>
    </row>
    <row r="819" spans="1:15">
      <c r="A819" s="3" t="s">
        <v>15</v>
      </c>
      <c r="B819" s="3" t="str">
        <f>"FES1162740323"</f>
        <v>FES1162740323</v>
      </c>
      <c r="C819" s="3" t="s">
        <v>410</v>
      </c>
      <c r="D819" s="3">
        <v>1</v>
      </c>
      <c r="E819" s="3" t="str">
        <f>"2170731933"</f>
        <v>2170731933</v>
      </c>
      <c r="F819" s="3" t="s">
        <v>17</v>
      </c>
      <c r="G819" s="3" t="s">
        <v>18</v>
      </c>
      <c r="H819" s="3" t="s">
        <v>18</v>
      </c>
      <c r="I819" s="3" t="s">
        <v>184</v>
      </c>
      <c r="J819" s="3" t="s">
        <v>185</v>
      </c>
      <c r="K819" s="3" t="s">
        <v>778</v>
      </c>
      <c r="L819" s="4">
        <v>0.4375</v>
      </c>
      <c r="M819" s="3" t="s">
        <v>208</v>
      </c>
      <c r="N819" s="3" t="s">
        <v>24</v>
      </c>
      <c r="O819" s="3" t="s">
        <v>25</v>
      </c>
    </row>
    <row r="820" spans="1:15">
      <c r="A820" s="3" t="s">
        <v>15</v>
      </c>
      <c r="B820" s="3" t="str">
        <f>"FES1162740331"</f>
        <v>FES1162740331</v>
      </c>
      <c r="C820" s="3" t="s">
        <v>410</v>
      </c>
      <c r="D820" s="3">
        <v>1</v>
      </c>
      <c r="E820" s="3" t="str">
        <f>"2170731939"</f>
        <v>2170731939</v>
      </c>
      <c r="F820" s="3" t="s">
        <v>17</v>
      </c>
      <c r="G820" s="3" t="s">
        <v>18</v>
      </c>
      <c r="H820" s="3" t="s">
        <v>100</v>
      </c>
      <c r="I820" s="3" t="s">
        <v>101</v>
      </c>
      <c r="J820" s="3" t="s">
        <v>921</v>
      </c>
      <c r="K820" s="3" t="s">
        <v>778</v>
      </c>
      <c r="L820" s="4">
        <v>0.33749999999999997</v>
      </c>
      <c r="M820" s="3" t="s">
        <v>922</v>
      </c>
      <c r="N820" s="3" t="s">
        <v>24</v>
      </c>
      <c r="O820" s="3" t="s">
        <v>25</v>
      </c>
    </row>
    <row r="821" spans="1:15">
      <c r="A821" s="3" t="s">
        <v>15</v>
      </c>
      <c r="B821" s="3" t="str">
        <f>"FES1162740370"</f>
        <v>FES1162740370</v>
      </c>
      <c r="C821" s="3" t="s">
        <v>410</v>
      </c>
      <c r="D821" s="3">
        <v>1</v>
      </c>
      <c r="E821" s="3" t="str">
        <f>"2170731741"</f>
        <v>2170731741</v>
      </c>
      <c r="F821" s="3" t="s">
        <v>17</v>
      </c>
      <c r="G821" s="3" t="s">
        <v>18</v>
      </c>
      <c r="H821" s="3" t="s">
        <v>36</v>
      </c>
      <c r="I821" s="3" t="s">
        <v>37</v>
      </c>
      <c r="J821" s="3" t="s">
        <v>585</v>
      </c>
      <c r="K821" s="3" t="s">
        <v>778</v>
      </c>
      <c r="L821" s="4">
        <v>0.36736111111111108</v>
      </c>
      <c r="M821" s="3" t="s">
        <v>862</v>
      </c>
      <c r="N821" s="3" t="s">
        <v>24</v>
      </c>
      <c r="O821" s="3" t="s">
        <v>25</v>
      </c>
    </row>
    <row r="822" spans="1:15">
      <c r="A822" s="3" t="s">
        <v>15</v>
      </c>
      <c r="B822" s="3" t="str">
        <f>"FES1162740223"</f>
        <v>FES1162740223</v>
      </c>
      <c r="C822" s="3" t="s">
        <v>410</v>
      </c>
      <c r="D822" s="3">
        <v>1</v>
      </c>
      <c r="E822" s="3" t="str">
        <f>"2170727333"</f>
        <v>2170727333</v>
      </c>
      <c r="F822" s="3" t="s">
        <v>17</v>
      </c>
      <c r="G822" s="3" t="s">
        <v>18</v>
      </c>
      <c r="H822" s="3" t="s">
        <v>18</v>
      </c>
      <c r="I822" s="3" t="s">
        <v>184</v>
      </c>
      <c r="J822" s="3" t="s">
        <v>185</v>
      </c>
      <c r="K822" s="3" t="s">
        <v>778</v>
      </c>
      <c r="L822" s="4">
        <v>0.4375</v>
      </c>
      <c r="M822" s="3" t="s">
        <v>208</v>
      </c>
      <c r="N822" s="3" t="s">
        <v>24</v>
      </c>
      <c r="O822" s="3" t="s">
        <v>25</v>
      </c>
    </row>
    <row r="823" spans="1:15">
      <c r="A823" s="3" t="s">
        <v>15</v>
      </c>
      <c r="B823" s="3" t="str">
        <f>"FES1162740345"</f>
        <v>FES1162740345</v>
      </c>
      <c r="C823" s="3" t="s">
        <v>410</v>
      </c>
      <c r="D823" s="3">
        <v>1</v>
      </c>
      <c r="E823" s="3" t="str">
        <f>"2170731942"</f>
        <v>2170731942</v>
      </c>
      <c r="F823" s="3" t="s">
        <v>17</v>
      </c>
      <c r="G823" s="3" t="s">
        <v>18</v>
      </c>
      <c r="H823" s="3" t="s">
        <v>100</v>
      </c>
      <c r="I823" s="3" t="s">
        <v>101</v>
      </c>
      <c r="J823" s="3" t="s">
        <v>137</v>
      </c>
      <c r="K823" s="3" t="s">
        <v>778</v>
      </c>
      <c r="L823" s="4">
        <v>0.41805555555555557</v>
      </c>
      <c r="M823" s="3" t="s">
        <v>371</v>
      </c>
      <c r="N823" s="3" t="s">
        <v>24</v>
      </c>
      <c r="O823" s="3" t="s">
        <v>25</v>
      </c>
    </row>
    <row r="824" spans="1:15">
      <c r="A824" s="3" t="s">
        <v>15</v>
      </c>
      <c r="B824" s="3" t="str">
        <f>"FES1162740349"</f>
        <v>FES1162740349</v>
      </c>
      <c r="C824" s="3" t="s">
        <v>410</v>
      </c>
      <c r="D824" s="3">
        <v>1</v>
      </c>
      <c r="E824" s="3" t="str">
        <f>"2170731946"</f>
        <v>2170731946</v>
      </c>
      <c r="F824" s="3" t="s">
        <v>17</v>
      </c>
      <c r="G824" s="3" t="s">
        <v>18</v>
      </c>
      <c r="H824" s="3" t="s">
        <v>18</v>
      </c>
      <c r="I824" s="3" t="s">
        <v>341</v>
      </c>
      <c r="J824" s="3" t="s">
        <v>923</v>
      </c>
      <c r="K824" s="3" t="s">
        <v>778</v>
      </c>
      <c r="L824" s="4">
        <v>0.41666666666666669</v>
      </c>
      <c r="M824" s="3" t="s">
        <v>924</v>
      </c>
      <c r="N824" s="3" t="s">
        <v>24</v>
      </c>
      <c r="O824" s="3" t="s">
        <v>25</v>
      </c>
    </row>
    <row r="825" spans="1:15">
      <c r="A825" s="3" t="s">
        <v>15</v>
      </c>
      <c r="B825" s="3" t="str">
        <f>"FES1162740339"</f>
        <v>FES1162740339</v>
      </c>
      <c r="C825" s="3" t="s">
        <v>410</v>
      </c>
      <c r="D825" s="3">
        <v>1</v>
      </c>
      <c r="E825" s="3" t="str">
        <f>"2170729407"</f>
        <v>2170729407</v>
      </c>
      <c r="F825" s="3" t="s">
        <v>17</v>
      </c>
      <c r="G825" s="3" t="s">
        <v>18</v>
      </c>
      <c r="H825" s="3" t="s">
        <v>66</v>
      </c>
      <c r="I825" s="3" t="s">
        <v>67</v>
      </c>
      <c r="J825" s="3" t="s">
        <v>906</v>
      </c>
      <c r="K825" s="3" t="s">
        <v>778</v>
      </c>
      <c r="L825" s="4">
        <v>0.40625</v>
      </c>
      <c r="M825" s="3" t="s">
        <v>907</v>
      </c>
      <c r="N825" s="3" t="s">
        <v>24</v>
      </c>
      <c r="O825" s="3" t="s">
        <v>25</v>
      </c>
    </row>
    <row r="826" spans="1:15">
      <c r="A826" s="3" t="s">
        <v>15</v>
      </c>
      <c r="B826" s="3" t="str">
        <f>"FES1162740315"</f>
        <v>FES1162740315</v>
      </c>
      <c r="C826" s="3" t="s">
        <v>410</v>
      </c>
      <c r="D826" s="3">
        <v>1</v>
      </c>
      <c r="E826" s="3" t="str">
        <f>"2170731920"</f>
        <v>2170731920</v>
      </c>
      <c r="F826" s="3" t="s">
        <v>17</v>
      </c>
      <c r="G826" s="3" t="s">
        <v>18</v>
      </c>
      <c r="H826" s="3" t="s">
        <v>100</v>
      </c>
      <c r="I826" s="3" t="s">
        <v>101</v>
      </c>
      <c r="J826" s="3" t="s">
        <v>327</v>
      </c>
      <c r="K826" s="3" t="s">
        <v>778</v>
      </c>
      <c r="L826" s="4">
        <v>0.43402777777777773</v>
      </c>
      <c r="M826" s="3" t="s">
        <v>328</v>
      </c>
      <c r="N826" s="3" t="s">
        <v>24</v>
      </c>
      <c r="O826" s="3" t="s">
        <v>25</v>
      </c>
    </row>
    <row r="827" spans="1:15">
      <c r="A827" s="3" t="s">
        <v>15</v>
      </c>
      <c r="B827" s="3" t="str">
        <f>"FES1162740353"</f>
        <v>FES1162740353</v>
      </c>
      <c r="C827" s="3" t="s">
        <v>410</v>
      </c>
      <c r="D827" s="3">
        <v>1</v>
      </c>
      <c r="E827" s="3" t="str">
        <f>"2170731936"</f>
        <v>2170731936</v>
      </c>
      <c r="F827" s="3" t="s">
        <v>17</v>
      </c>
      <c r="G827" s="3" t="s">
        <v>18</v>
      </c>
      <c r="H827" s="3" t="s">
        <v>66</v>
      </c>
      <c r="I827" s="3" t="s">
        <v>158</v>
      </c>
      <c r="J827" s="3" t="s">
        <v>925</v>
      </c>
      <c r="K827" s="3" t="s">
        <v>778</v>
      </c>
      <c r="L827" s="4">
        <v>0.62152777777777779</v>
      </c>
      <c r="M827" s="3" t="s">
        <v>926</v>
      </c>
      <c r="N827" s="3" t="s">
        <v>24</v>
      </c>
      <c r="O827" s="3" t="s">
        <v>25</v>
      </c>
    </row>
    <row r="828" spans="1:15">
      <c r="A828" s="3" t="s">
        <v>15</v>
      </c>
      <c r="B828" s="3" t="str">
        <f>"FES1162740379"</f>
        <v>FES1162740379</v>
      </c>
      <c r="C828" s="3" t="s">
        <v>410</v>
      </c>
      <c r="D828" s="3">
        <v>1</v>
      </c>
      <c r="E828" s="3" t="str">
        <f>"2170728725"</f>
        <v>2170728725</v>
      </c>
      <c r="F828" s="3" t="s">
        <v>17</v>
      </c>
      <c r="G828" s="3" t="s">
        <v>18</v>
      </c>
      <c r="H828" s="3" t="s">
        <v>66</v>
      </c>
      <c r="I828" s="3" t="s">
        <v>67</v>
      </c>
      <c r="J828" s="3" t="s">
        <v>906</v>
      </c>
      <c r="K828" s="3" t="s">
        <v>778</v>
      </c>
      <c r="L828" s="4">
        <v>0.40625</v>
      </c>
      <c r="M828" s="3" t="s">
        <v>907</v>
      </c>
      <c r="N828" s="3" t="s">
        <v>24</v>
      </c>
      <c r="O828" s="3" t="s">
        <v>25</v>
      </c>
    </row>
    <row r="829" spans="1:15">
      <c r="A829" s="3" t="s">
        <v>15</v>
      </c>
      <c r="B829" s="3" t="str">
        <f>"FES1162740369"</f>
        <v>FES1162740369</v>
      </c>
      <c r="C829" s="3" t="s">
        <v>410</v>
      </c>
      <c r="D829" s="3">
        <v>1</v>
      </c>
      <c r="E829" s="3" t="str">
        <f>"21707312969"</f>
        <v>21707312969</v>
      </c>
      <c r="F829" s="3" t="s">
        <v>17</v>
      </c>
      <c r="G829" s="3" t="s">
        <v>18</v>
      </c>
      <c r="H829" s="3" t="s">
        <v>66</v>
      </c>
      <c r="I829" s="3" t="s">
        <v>67</v>
      </c>
      <c r="J829" s="3" t="s">
        <v>927</v>
      </c>
      <c r="K829" s="3" t="s">
        <v>778</v>
      </c>
      <c r="L829" s="4">
        <v>0.40277777777777773</v>
      </c>
      <c r="M829" s="3" t="s">
        <v>928</v>
      </c>
      <c r="N829" s="3" t="s">
        <v>24</v>
      </c>
      <c r="O829" s="3" t="s">
        <v>25</v>
      </c>
    </row>
    <row r="830" spans="1:15">
      <c r="A830" s="3" t="s">
        <v>15</v>
      </c>
      <c r="B830" s="3" t="str">
        <f>"FES1162740368"</f>
        <v>FES1162740368</v>
      </c>
      <c r="C830" s="3" t="s">
        <v>410</v>
      </c>
      <c r="D830" s="3">
        <v>1</v>
      </c>
      <c r="E830" s="3" t="str">
        <f>"2170731967"</f>
        <v>2170731967</v>
      </c>
      <c r="F830" s="3" t="s">
        <v>17</v>
      </c>
      <c r="G830" s="3" t="s">
        <v>18</v>
      </c>
      <c r="H830" s="3" t="s">
        <v>70</v>
      </c>
      <c r="I830" s="3" t="s">
        <v>71</v>
      </c>
      <c r="J830" s="3" t="s">
        <v>248</v>
      </c>
      <c r="K830" s="3" t="s">
        <v>778</v>
      </c>
      <c r="L830" s="4">
        <v>0.375</v>
      </c>
      <c r="M830" s="3" t="s">
        <v>929</v>
      </c>
      <c r="N830" s="3" t="s">
        <v>24</v>
      </c>
      <c r="O830" s="3" t="s">
        <v>25</v>
      </c>
    </row>
    <row r="831" spans="1:15">
      <c r="A831" s="3" t="s">
        <v>15</v>
      </c>
      <c r="B831" s="3" t="str">
        <f>"FES1162740300"</f>
        <v>FES1162740300</v>
      </c>
      <c r="C831" s="3" t="s">
        <v>410</v>
      </c>
      <c r="D831" s="3">
        <v>1</v>
      </c>
      <c r="E831" s="3" t="str">
        <f>"2170731897"</f>
        <v>2170731897</v>
      </c>
      <c r="F831" s="3" t="s">
        <v>17</v>
      </c>
      <c r="G831" s="3" t="s">
        <v>18</v>
      </c>
      <c r="H831" s="3" t="s">
        <v>19</v>
      </c>
      <c r="I831" s="3" t="s">
        <v>20</v>
      </c>
      <c r="J831" s="3" t="s">
        <v>104</v>
      </c>
      <c r="K831" s="3" t="s">
        <v>778</v>
      </c>
      <c r="L831" s="4">
        <v>0.4236111111111111</v>
      </c>
      <c r="M831" s="3" t="s">
        <v>105</v>
      </c>
      <c r="N831" s="3" t="s">
        <v>24</v>
      </c>
      <c r="O831" s="3" t="s">
        <v>25</v>
      </c>
    </row>
    <row r="832" spans="1:15">
      <c r="A832" s="3" t="s">
        <v>15</v>
      </c>
      <c r="B832" s="3" t="str">
        <f>"FES1162740274"</f>
        <v>FES1162740274</v>
      </c>
      <c r="C832" s="3" t="s">
        <v>410</v>
      </c>
      <c r="D832" s="3">
        <v>1</v>
      </c>
      <c r="E832" s="3" t="str">
        <f>"2170730085"</f>
        <v>2170730085</v>
      </c>
      <c r="F832" s="3" t="s">
        <v>17</v>
      </c>
      <c r="G832" s="3" t="s">
        <v>18</v>
      </c>
      <c r="H832" s="3" t="s">
        <v>19</v>
      </c>
      <c r="I832" s="3" t="s">
        <v>20</v>
      </c>
      <c r="J832" s="3" t="s">
        <v>44</v>
      </c>
      <c r="K832" s="3" t="s">
        <v>778</v>
      </c>
      <c r="L832" s="4">
        <v>0.4291666666666667</v>
      </c>
      <c r="M832" s="3" t="s">
        <v>930</v>
      </c>
      <c r="N832" s="3" t="s">
        <v>24</v>
      </c>
      <c r="O832" s="3" t="s">
        <v>25</v>
      </c>
    </row>
    <row r="833" spans="1:15">
      <c r="A833" s="3" t="s">
        <v>15</v>
      </c>
      <c r="B833" s="3" t="str">
        <f>"FES1162740329"</f>
        <v>FES1162740329</v>
      </c>
      <c r="C833" s="3" t="s">
        <v>410</v>
      </c>
      <c r="D833" s="3">
        <v>1</v>
      </c>
      <c r="E833" s="3" t="str">
        <f>"2170731935"</f>
        <v>2170731935</v>
      </c>
      <c r="F833" s="3" t="s">
        <v>17</v>
      </c>
      <c r="G833" s="3" t="s">
        <v>18</v>
      </c>
      <c r="H833" s="3" t="s">
        <v>36</v>
      </c>
      <c r="I833" s="3" t="s">
        <v>37</v>
      </c>
      <c r="J833" s="3" t="s">
        <v>505</v>
      </c>
      <c r="K833" s="3" t="s">
        <v>778</v>
      </c>
      <c r="L833" s="4">
        <v>0.34722222222222227</v>
      </c>
      <c r="M833" s="3" t="s">
        <v>878</v>
      </c>
      <c r="N833" s="3" t="s">
        <v>24</v>
      </c>
      <c r="O833" s="3" t="s">
        <v>25</v>
      </c>
    </row>
    <row r="834" spans="1:15">
      <c r="A834" s="3" t="s">
        <v>15</v>
      </c>
      <c r="B834" s="3" t="str">
        <f>"FES1162740335"</f>
        <v>FES1162740335</v>
      </c>
      <c r="C834" s="3" t="s">
        <v>410</v>
      </c>
      <c r="D834" s="3">
        <v>1</v>
      </c>
      <c r="E834" s="3" t="str">
        <f>"2170731911"</f>
        <v>2170731911</v>
      </c>
      <c r="F834" s="3" t="s">
        <v>17</v>
      </c>
      <c r="G834" s="3" t="s">
        <v>18</v>
      </c>
      <c r="H834" s="3" t="s">
        <v>36</v>
      </c>
      <c r="I834" s="3" t="s">
        <v>37</v>
      </c>
      <c r="J834" s="3" t="s">
        <v>187</v>
      </c>
      <c r="K834" s="3" t="s">
        <v>778</v>
      </c>
      <c r="L834" s="4">
        <v>0.35416666666666669</v>
      </c>
      <c r="M834" s="3" t="s">
        <v>820</v>
      </c>
      <c r="N834" s="3" t="s">
        <v>24</v>
      </c>
      <c r="O834" s="3" t="s">
        <v>25</v>
      </c>
    </row>
    <row r="835" spans="1:15">
      <c r="A835" s="3" t="s">
        <v>15</v>
      </c>
      <c r="B835" s="3" t="str">
        <f>"FES1162740276"</f>
        <v>FES1162740276</v>
      </c>
      <c r="C835" s="3" t="s">
        <v>410</v>
      </c>
      <c r="D835" s="3">
        <v>1</v>
      </c>
      <c r="E835" s="3" t="str">
        <f>"2170730580"</f>
        <v>2170730580</v>
      </c>
      <c r="F835" s="3" t="s">
        <v>17</v>
      </c>
      <c r="G835" s="3" t="s">
        <v>18</v>
      </c>
      <c r="H835" s="3" t="s">
        <v>19</v>
      </c>
      <c r="I835" s="3" t="s">
        <v>20</v>
      </c>
      <c r="J835" s="3" t="s">
        <v>44</v>
      </c>
      <c r="K835" s="3" t="s">
        <v>778</v>
      </c>
      <c r="L835" s="4">
        <v>0.4291666666666667</v>
      </c>
      <c r="M835" s="3" t="s">
        <v>930</v>
      </c>
      <c r="N835" s="3" t="s">
        <v>24</v>
      </c>
      <c r="O835" s="3" t="s">
        <v>25</v>
      </c>
    </row>
    <row r="836" spans="1:15">
      <c r="A836" s="3" t="s">
        <v>15</v>
      </c>
      <c r="B836" s="3" t="str">
        <f>"FES1162740338"</f>
        <v>FES1162740338</v>
      </c>
      <c r="C836" s="3" t="s">
        <v>410</v>
      </c>
      <c r="D836" s="3">
        <v>1</v>
      </c>
      <c r="E836" s="3" t="str">
        <f>"21707317981"</f>
        <v>21707317981</v>
      </c>
      <c r="F836" s="3" t="s">
        <v>17</v>
      </c>
      <c r="G836" s="3" t="s">
        <v>18</v>
      </c>
      <c r="H836" s="3" t="s">
        <v>70</v>
      </c>
      <c r="I836" s="3" t="s">
        <v>931</v>
      </c>
      <c r="J836" s="3" t="s">
        <v>497</v>
      </c>
      <c r="K836" s="3" t="s">
        <v>778</v>
      </c>
      <c r="L836" s="4">
        <v>0.4861111111111111</v>
      </c>
      <c r="M836" s="3" t="s">
        <v>932</v>
      </c>
      <c r="N836" s="3" t="s">
        <v>24</v>
      </c>
      <c r="O836" s="3" t="s">
        <v>25</v>
      </c>
    </row>
    <row r="837" spans="1:15">
      <c r="A837" s="3" t="s">
        <v>15</v>
      </c>
      <c r="B837" s="3" t="str">
        <f>"FES1162740364"</f>
        <v>FES1162740364</v>
      </c>
      <c r="C837" s="3" t="s">
        <v>410</v>
      </c>
      <c r="D837" s="3">
        <v>1</v>
      </c>
      <c r="E837" s="3" t="str">
        <f>"2170731963"</f>
        <v>2170731963</v>
      </c>
      <c r="F837" s="3" t="s">
        <v>17</v>
      </c>
      <c r="G837" s="3" t="s">
        <v>18</v>
      </c>
      <c r="H837" s="3" t="s">
        <v>46</v>
      </c>
      <c r="I837" s="3" t="s">
        <v>47</v>
      </c>
      <c r="J837" s="3" t="s">
        <v>62</v>
      </c>
      <c r="K837" s="3" t="s">
        <v>778</v>
      </c>
      <c r="L837" s="4">
        <v>0.43402777777777773</v>
      </c>
      <c r="M837" s="3" t="s">
        <v>859</v>
      </c>
      <c r="N837" s="3" t="s">
        <v>24</v>
      </c>
      <c r="O837" s="3" t="s">
        <v>25</v>
      </c>
    </row>
    <row r="838" spans="1:15">
      <c r="A838" s="3" t="s">
        <v>15</v>
      </c>
      <c r="B838" s="3" t="str">
        <f>"FES1162740261"</f>
        <v>FES1162740261</v>
      </c>
      <c r="C838" s="3" t="s">
        <v>410</v>
      </c>
      <c r="D838" s="3">
        <v>1</v>
      </c>
      <c r="E838" s="3" t="str">
        <f>"2170731851"</f>
        <v>2170731851</v>
      </c>
      <c r="F838" s="3" t="s">
        <v>17</v>
      </c>
      <c r="G838" s="3" t="s">
        <v>18</v>
      </c>
      <c r="H838" s="3" t="s">
        <v>19</v>
      </c>
      <c r="I838" s="3" t="s">
        <v>20</v>
      </c>
      <c r="J838" s="3" t="s">
        <v>576</v>
      </c>
      <c r="K838" s="3" t="s">
        <v>778</v>
      </c>
      <c r="L838" s="4">
        <v>0.38958333333333334</v>
      </c>
      <c r="M838" s="3" t="s">
        <v>577</v>
      </c>
      <c r="N838" s="3" t="s">
        <v>24</v>
      </c>
      <c r="O838" s="3" t="s">
        <v>25</v>
      </c>
    </row>
    <row r="839" spans="1:15">
      <c r="A839" s="3" t="s">
        <v>15</v>
      </c>
      <c r="B839" s="3" t="str">
        <f>"FES1162740326"</f>
        <v>FES1162740326</v>
      </c>
      <c r="C839" s="3" t="s">
        <v>410</v>
      </c>
      <c r="D839" s="3">
        <v>1</v>
      </c>
      <c r="E839" s="3" t="str">
        <f>"2170728265"</f>
        <v>2170728265</v>
      </c>
      <c r="F839" s="3" t="s">
        <v>17</v>
      </c>
      <c r="G839" s="3" t="s">
        <v>18</v>
      </c>
      <c r="H839" s="3" t="s">
        <v>36</v>
      </c>
      <c r="I839" s="3" t="s">
        <v>37</v>
      </c>
      <c r="J839" s="3" t="s">
        <v>902</v>
      </c>
      <c r="K839" s="3" t="s">
        <v>778</v>
      </c>
      <c r="L839" s="4">
        <v>0.40347222222222223</v>
      </c>
      <c r="M839" s="3" t="s">
        <v>210</v>
      </c>
      <c r="N839" s="3" t="s">
        <v>24</v>
      </c>
      <c r="O839" s="3" t="s">
        <v>25</v>
      </c>
    </row>
    <row r="840" spans="1:15">
      <c r="A840" s="3" t="s">
        <v>15</v>
      </c>
      <c r="B840" s="3" t="str">
        <f>"FES1162740317"</f>
        <v>FES1162740317</v>
      </c>
      <c r="C840" s="3" t="s">
        <v>410</v>
      </c>
      <c r="D840" s="3">
        <v>1</v>
      </c>
      <c r="E840" s="3" t="str">
        <f>"2170731922"</f>
        <v>2170731922</v>
      </c>
      <c r="F840" s="3" t="s">
        <v>17</v>
      </c>
      <c r="G840" s="3" t="s">
        <v>18</v>
      </c>
      <c r="H840" s="3" t="s">
        <v>18</v>
      </c>
      <c r="I840" s="3" t="s">
        <v>33</v>
      </c>
      <c r="J840" s="3" t="s">
        <v>34</v>
      </c>
      <c r="K840" s="3" t="s">
        <v>778</v>
      </c>
      <c r="L840" s="4">
        <v>0.4291666666666667</v>
      </c>
      <c r="M840" s="3" t="s">
        <v>208</v>
      </c>
      <c r="N840" s="3" t="s">
        <v>24</v>
      </c>
      <c r="O840" s="3" t="s">
        <v>25</v>
      </c>
    </row>
    <row r="841" spans="1:15">
      <c r="A841" s="3" t="s">
        <v>15</v>
      </c>
      <c r="B841" s="3" t="str">
        <f>"FES1162740327"</f>
        <v>FES1162740327</v>
      </c>
      <c r="C841" s="3" t="s">
        <v>410</v>
      </c>
      <c r="D841" s="3">
        <v>1</v>
      </c>
      <c r="E841" s="3" t="str">
        <f>"2170727573"</f>
        <v>2170727573</v>
      </c>
      <c r="F841" s="3" t="s">
        <v>17</v>
      </c>
      <c r="G841" s="3" t="s">
        <v>18</v>
      </c>
      <c r="H841" s="3" t="s">
        <v>36</v>
      </c>
      <c r="I841" s="3" t="s">
        <v>37</v>
      </c>
      <c r="J841" s="3" t="s">
        <v>187</v>
      </c>
      <c r="K841" s="3" t="s">
        <v>778</v>
      </c>
      <c r="L841" s="4">
        <v>0.35416666666666669</v>
      </c>
      <c r="M841" s="3" t="s">
        <v>188</v>
      </c>
      <c r="N841" s="3" t="s">
        <v>24</v>
      </c>
      <c r="O841" s="3" t="s">
        <v>25</v>
      </c>
    </row>
    <row r="842" spans="1:15">
      <c r="A842" s="3" t="s">
        <v>15</v>
      </c>
      <c r="B842" s="3" t="str">
        <f>"FES1162740403"</f>
        <v>FES1162740403</v>
      </c>
      <c r="C842" s="3" t="s">
        <v>410</v>
      </c>
      <c r="D842" s="3">
        <v>1</v>
      </c>
      <c r="E842" s="3" t="str">
        <f>"21707319999"</f>
        <v>21707319999</v>
      </c>
      <c r="F842" s="3" t="s">
        <v>17</v>
      </c>
      <c r="G842" s="3" t="s">
        <v>18</v>
      </c>
      <c r="H842" s="3" t="s">
        <v>18</v>
      </c>
      <c r="I842" s="3" t="s">
        <v>313</v>
      </c>
      <c r="J842" s="3" t="s">
        <v>572</v>
      </c>
      <c r="K842" s="3" t="s">
        <v>778</v>
      </c>
      <c r="L842" s="4">
        <v>0.40972222222222227</v>
      </c>
      <c r="M842" s="3" t="s">
        <v>798</v>
      </c>
      <c r="N842" s="3" t="s">
        <v>24</v>
      </c>
      <c r="O842" s="3" t="s">
        <v>25</v>
      </c>
    </row>
    <row r="843" spans="1:15">
      <c r="A843" s="3" t="s">
        <v>15</v>
      </c>
      <c r="B843" s="3" t="str">
        <f>"FES1162740357"</f>
        <v>FES1162740357</v>
      </c>
      <c r="C843" s="3" t="s">
        <v>410</v>
      </c>
      <c r="D843" s="3">
        <v>1</v>
      </c>
      <c r="E843" s="3" t="str">
        <f>"2170731954"</f>
        <v>2170731954</v>
      </c>
      <c r="F843" s="3" t="s">
        <v>17</v>
      </c>
      <c r="G843" s="3" t="s">
        <v>18</v>
      </c>
      <c r="H843" s="3" t="s">
        <v>100</v>
      </c>
      <c r="I843" s="3" t="s">
        <v>101</v>
      </c>
      <c r="J843" s="3" t="s">
        <v>738</v>
      </c>
      <c r="K843" s="3" t="s">
        <v>778</v>
      </c>
      <c r="L843" s="4">
        <v>0.4284722222222222</v>
      </c>
      <c r="M843" s="3" t="s">
        <v>933</v>
      </c>
      <c r="N843" s="3" t="s">
        <v>24</v>
      </c>
      <c r="O843" s="3" t="s">
        <v>25</v>
      </c>
    </row>
    <row r="844" spans="1:15">
      <c r="A844" s="3" t="s">
        <v>15</v>
      </c>
      <c r="B844" s="3" t="str">
        <f>"FES1162740336"</f>
        <v>FES1162740336</v>
      </c>
      <c r="C844" s="3" t="s">
        <v>410</v>
      </c>
      <c r="D844" s="3">
        <v>1</v>
      </c>
      <c r="E844" s="3" t="str">
        <f>"2170729266"</f>
        <v>2170729266</v>
      </c>
      <c r="F844" s="3" t="s">
        <v>17</v>
      </c>
      <c r="G844" s="3" t="s">
        <v>18</v>
      </c>
      <c r="H844" s="3" t="s">
        <v>36</v>
      </c>
      <c r="I844" s="3" t="s">
        <v>330</v>
      </c>
      <c r="J844" s="3" t="s">
        <v>934</v>
      </c>
      <c r="K844" s="3" t="s">
        <v>778</v>
      </c>
      <c r="L844" s="4">
        <v>0.4145833333333333</v>
      </c>
      <c r="M844" s="3" t="s">
        <v>935</v>
      </c>
      <c r="N844" s="3" t="s">
        <v>24</v>
      </c>
      <c r="O844" s="3" t="s">
        <v>25</v>
      </c>
    </row>
    <row r="845" spans="1:15">
      <c r="A845" s="3" t="s">
        <v>15</v>
      </c>
      <c r="B845" s="3" t="str">
        <f>"FES1162740360"</f>
        <v>FES1162740360</v>
      </c>
      <c r="C845" s="3" t="s">
        <v>410</v>
      </c>
      <c r="D845" s="3">
        <v>1</v>
      </c>
      <c r="E845" s="3" t="str">
        <f>"2170731957"</f>
        <v>2170731957</v>
      </c>
      <c r="F845" s="3" t="s">
        <v>17</v>
      </c>
      <c r="G845" s="3" t="s">
        <v>18</v>
      </c>
      <c r="H845" s="3" t="s">
        <v>36</v>
      </c>
      <c r="I845" s="3" t="s">
        <v>174</v>
      </c>
      <c r="J845" s="3" t="s">
        <v>688</v>
      </c>
      <c r="K845" s="3" t="s">
        <v>778</v>
      </c>
      <c r="L845" s="4">
        <v>0.34027777777777773</v>
      </c>
      <c r="M845" s="3" t="s">
        <v>689</v>
      </c>
      <c r="N845" s="3" t="s">
        <v>24</v>
      </c>
      <c r="O845" s="3" t="s">
        <v>25</v>
      </c>
    </row>
    <row r="846" spans="1:15">
      <c r="A846" s="3" t="s">
        <v>15</v>
      </c>
      <c r="B846" s="3" t="str">
        <f>"FES1162740358"</f>
        <v>FES1162740358</v>
      </c>
      <c r="C846" s="3" t="s">
        <v>410</v>
      </c>
      <c r="D846" s="3">
        <v>1</v>
      </c>
      <c r="E846" s="3" t="str">
        <f>"2170731955"</f>
        <v>2170731955</v>
      </c>
      <c r="F846" s="3" t="s">
        <v>17</v>
      </c>
      <c r="G846" s="3" t="s">
        <v>18</v>
      </c>
      <c r="H846" s="3" t="s">
        <v>19</v>
      </c>
      <c r="I846" s="3" t="s">
        <v>277</v>
      </c>
      <c r="J846" s="3" t="s">
        <v>278</v>
      </c>
      <c r="K846" s="3" t="s">
        <v>778</v>
      </c>
      <c r="L846" s="4">
        <v>0.42638888888888887</v>
      </c>
      <c r="M846" s="3" t="s">
        <v>279</v>
      </c>
      <c r="N846" s="3" t="s">
        <v>24</v>
      </c>
      <c r="O846" s="3" t="s">
        <v>25</v>
      </c>
    </row>
    <row r="847" spans="1:15">
      <c r="A847" s="3" t="s">
        <v>15</v>
      </c>
      <c r="B847" s="3" t="str">
        <f>"FES1162740295"</f>
        <v>FES1162740295</v>
      </c>
      <c r="C847" s="3" t="s">
        <v>410</v>
      </c>
      <c r="D847" s="3">
        <v>1</v>
      </c>
      <c r="E847" s="3" t="str">
        <f>"2170731891"</f>
        <v>2170731891</v>
      </c>
      <c r="F847" s="3" t="s">
        <v>17</v>
      </c>
      <c r="G847" s="3" t="s">
        <v>18</v>
      </c>
      <c r="H847" s="3" t="s">
        <v>19</v>
      </c>
      <c r="I847" s="3" t="s">
        <v>20</v>
      </c>
      <c r="J847" s="3" t="s">
        <v>280</v>
      </c>
      <c r="K847" s="3" t="s">
        <v>778</v>
      </c>
      <c r="L847" s="4">
        <v>0.31805555555555554</v>
      </c>
      <c r="M847" s="3" t="s">
        <v>936</v>
      </c>
      <c r="N847" s="3" t="s">
        <v>24</v>
      </c>
      <c r="O847" s="3" t="s">
        <v>25</v>
      </c>
    </row>
    <row r="848" spans="1:15">
      <c r="A848" s="3" t="s">
        <v>15</v>
      </c>
      <c r="B848" s="3" t="str">
        <f>"FES1162740319"</f>
        <v>FES1162740319</v>
      </c>
      <c r="C848" s="3" t="s">
        <v>410</v>
      </c>
      <c r="D848" s="3">
        <v>1</v>
      </c>
      <c r="E848" s="3" t="str">
        <f>"2170731927"</f>
        <v>2170731927</v>
      </c>
      <c r="F848" s="3" t="s">
        <v>17</v>
      </c>
      <c r="G848" s="3" t="s">
        <v>18</v>
      </c>
      <c r="H848" s="3" t="s">
        <v>19</v>
      </c>
      <c r="I848" s="3" t="s">
        <v>51</v>
      </c>
      <c r="J848" s="3" t="s">
        <v>89</v>
      </c>
      <c r="K848" s="3" t="s">
        <v>778</v>
      </c>
      <c r="L848" s="4">
        <v>0.33402777777777781</v>
      </c>
      <c r="M848" s="3" t="s">
        <v>419</v>
      </c>
      <c r="N848" s="3" t="s">
        <v>24</v>
      </c>
      <c r="O848" s="3" t="s">
        <v>25</v>
      </c>
    </row>
    <row r="849" spans="1:15">
      <c r="A849" s="3" t="s">
        <v>15</v>
      </c>
      <c r="B849" s="3" t="str">
        <f>"FES1162740284"</f>
        <v>FES1162740284</v>
      </c>
      <c r="C849" s="3" t="s">
        <v>410</v>
      </c>
      <c r="D849" s="3">
        <v>1</v>
      </c>
      <c r="E849" s="3" t="str">
        <f>"2170731878"</f>
        <v>2170731878</v>
      </c>
      <c r="F849" s="3" t="s">
        <v>17</v>
      </c>
      <c r="G849" s="3" t="s">
        <v>18</v>
      </c>
      <c r="H849" s="3" t="s">
        <v>19</v>
      </c>
      <c r="I849" s="3" t="s">
        <v>20</v>
      </c>
      <c r="J849" s="3" t="s">
        <v>417</v>
      </c>
      <c r="K849" s="3" t="s">
        <v>778</v>
      </c>
      <c r="L849" s="4">
        <v>0.42499999999999999</v>
      </c>
      <c r="M849" s="3" t="s">
        <v>418</v>
      </c>
      <c r="N849" s="3" t="s">
        <v>24</v>
      </c>
      <c r="O849" s="3" t="s">
        <v>25</v>
      </c>
    </row>
    <row r="850" spans="1:15">
      <c r="A850" s="3" t="s">
        <v>15</v>
      </c>
      <c r="B850" s="3" t="str">
        <f>"FES1162740311"</f>
        <v>FES1162740311</v>
      </c>
      <c r="C850" s="3" t="s">
        <v>410</v>
      </c>
      <c r="D850" s="3">
        <v>1</v>
      </c>
      <c r="E850" s="3" t="str">
        <f>"2170731915"</f>
        <v>2170731915</v>
      </c>
      <c r="F850" s="3" t="s">
        <v>17</v>
      </c>
      <c r="G850" s="3" t="s">
        <v>18</v>
      </c>
      <c r="H850" s="3" t="s">
        <v>19</v>
      </c>
      <c r="I850" s="3" t="s">
        <v>277</v>
      </c>
      <c r="J850" s="3" t="s">
        <v>937</v>
      </c>
      <c r="K850" s="3" t="s">
        <v>778</v>
      </c>
      <c r="L850" s="4">
        <v>0.40069444444444446</v>
      </c>
      <c r="M850" s="3" t="s">
        <v>938</v>
      </c>
      <c r="N850" s="3" t="s">
        <v>24</v>
      </c>
      <c r="O850" s="3" t="s">
        <v>25</v>
      </c>
    </row>
    <row r="851" spans="1:15">
      <c r="A851" s="3" t="s">
        <v>15</v>
      </c>
      <c r="B851" s="3" t="str">
        <f>"FES1162740347"</f>
        <v>FES1162740347</v>
      </c>
      <c r="C851" s="3" t="s">
        <v>410</v>
      </c>
      <c r="D851" s="3">
        <v>1</v>
      </c>
      <c r="E851" s="3" t="str">
        <f>"2170731944"</f>
        <v>2170731944</v>
      </c>
      <c r="F851" s="3" t="s">
        <v>17</v>
      </c>
      <c r="G851" s="3" t="s">
        <v>18</v>
      </c>
      <c r="H851" s="3" t="s">
        <v>19</v>
      </c>
      <c r="I851" s="3" t="s">
        <v>20</v>
      </c>
      <c r="J851" s="3" t="s">
        <v>56</v>
      </c>
      <c r="K851" s="3" t="s">
        <v>778</v>
      </c>
      <c r="L851" s="4">
        <v>0.3527777777777778</v>
      </c>
      <c r="M851" s="3" t="s">
        <v>57</v>
      </c>
      <c r="N851" s="3" t="s">
        <v>24</v>
      </c>
      <c r="O851" s="3" t="s">
        <v>25</v>
      </c>
    </row>
    <row r="852" spans="1:15">
      <c r="A852" s="3" t="s">
        <v>15</v>
      </c>
      <c r="B852" s="3" t="str">
        <f>"FES1162740337"</f>
        <v>FES1162740337</v>
      </c>
      <c r="C852" s="3" t="s">
        <v>410</v>
      </c>
      <c r="D852" s="3">
        <v>1</v>
      </c>
      <c r="E852" s="3" t="str">
        <f>"2170729299"</f>
        <v>2170729299</v>
      </c>
      <c r="F852" s="3" t="s">
        <v>17</v>
      </c>
      <c r="G852" s="3" t="s">
        <v>18</v>
      </c>
      <c r="H852" s="3" t="s">
        <v>19</v>
      </c>
      <c r="I852" s="3" t="s">
        <v>20</v>
      </c>
      <c r="J852" s="3" t="s">
        <v>104</v>
      </c>
      <c r="K852" s="3" t="s">
        <v>778</v>
      </c>
      <c r="L852" s="4">
        <v>0.4236111111111111</v>
      </c>
      <c r="M852" s="3" t="s">
        <v>105</v>
      </c>
      <c r="N852" s="3" t="s">
        <v>24</v>
      </c>
      <c r="O852" s="3" t="s">
        <v>25</v>
      </c>
    </row>
    <row r="853" spans="1:15">
      <c r="A853" s="3" t="s">
        <v>15</v>
      </c>
      <c r="B853" s="3" t="str">
        <f>"FES1162740287"</f>
        <v>FES1162740287</v>
      </c>
      <c r="C853" s="3" t="s">
        <v>410</v>
      </c>
      <c r="D853" s="3">
        <v>1</v>
      </c>
      <c r="E853" s="3" t="str">
        <f>"2170731881"</f>
        <v>2170731881</v>
      </c>
      <c r="F853" s="3" t="s">
        <v>17</v>
      </c>
      <c r="G853" s="3" t="s">
        <v>18</v>
      </c>
      <c r="H853" s="3" t="s">
        <v>19</v>
      </c>
      <c r="I853" s="3" t="s">
        <v>86</v>
      </c>
      <c r="J853" s="3" t="s">
        <v>835</v>
      </c>
      <c r="K853" s="3" t="s">
        <v>363</v>
      </c>
      <c r="L853" s="4">
        <v>0.39861111111111108</v>
      </c>
      <c r="M853" s="3" t="s">
        <v>939</v>
      </c>
      <c r="N853" s="3" t="s">
        <v>24</v>
      </c>
      <c r="O853" s="3" t="s">
        <v>25</v>
      </c>
    </row>
    <row r="854" spans="1:15">
      <c r="A854" s="3" t="s">
        <v>15</v>
      </c>
      <c r="B854" s="3" t="str">
        <f>"FES1162740356"</f>
        <v>FES1162740356</v>
      </c>
      <c r="C854" s="3" t="s">
        <v>410</v>
      </c>
      <c r="D854" s="3">
        <v>1</v>
      </c>
      <c r="E854" s="3" t="str">
        <f>"2170731953"</f>
        <v>2170731953</v>
      </c>
      <c r="F854" s="3" t="s">
        <v>17</v>
      </c>
      <c r="G854" s="3" t="s">
        <v>18</v>
      </c>
      <c r="H854" s="3" t="s">
        <v>70</v>
      </c>
      <c r="I854" s="3" t="s">
        <v>71</v>
      </c>
      <c r="J854" s="3" t="s">
        <v>940</v>
      </c>
      <c r="K854" s="3" t="s">
        <v>778</v>
      </c>
      <c r="L854" s="4">
        <v>0.36944444444444446</v>
      </c>
      <c r="M854" s="3" t="s">
        <v>941</v>
      </c>
      <c r="N854" s="3" t="s">
        <v>24</v>
      </c>
      <c r="O854" s="3" t="s">
        <v>25</v>
      </c>
    </row>
    <row r="855" spans="1:15">
      <c r="A855" s="3" t="s">
        <v>15</v>
      </c>
      <c r="B855" s="3" t="str">
        <f>"FES1162740351"</f>
        <v>FES1162740351</v>
      </c>
      <c r="C855" s="3" t="s">
        <v>410</v>
      </c>
      <c r="D855" s="3">
        <v>1</v>
      </c>
      <c r="E855" s="3" t="str">
        <f>"2170731949"</f>
        <v>2170731949</v>
      </c>
      <c r="F855" s="3" t="s">
        <v>17</v>
      </c>
      <c r="G855" s="3" t="s">
        <v>18</v>
      </c>
      <c r="H855" s="3" t="s">
        <v>70</v>
      </c>
      <c r="I855" s="3" t="s">
        <v>71</v>
      </c>
      <c r="J855" s="3" t="s">
        <v>441</v>
      </c>
      <c r="K855" s="3" t="s">
        <v>778</v>
      </c>
      <c r="L855" s="4">
        <v>0.59791666666666665</v>
      </c>
      <c r="M855" s="3" t="s">
        <v>782</v>
      </c>
      <c r="N855" s="3" t="s">
        <v>24</v>
      </c>
      <c r="O855" s="3" t="s">
        <v>25</v>
      </c>
    </row>
    <row r="856" spans="1:15">
      <c r="A856" s="3" t="s">
        <v>15</v>
      </c>
      <c r="B856" s="3" t="str">
        <f>"FES1162740343"</f>
        <v>FES1162740343</v>
      </c>
      <c r="C856" s="3" t="s">
        <v>410</v>
      </c>
      <c r="D856" s="3">
        <v>1</v>
      </c>
      <c r="E856" s="3" t="str">
        <f>"2170731809"</f>
        <v>2170731809</v>
      </c>
      <c r="F856" s="3" t="s">
        <v>17</v>
      </c>
      <c r="G856" s="3" t="s">
        <v>18</v>
      </c>
      <c r="H856" s="3" t="s">
        <v>19</v>
      </c>
      <c r="I856" s="3" t="s">
        <v>51</v>
      </c>
      <c r="J856" s="3" t="s">
        <v>942</v>
      </c>
      <c r="K856" s="3" t="s">
        <v>778</v>
      </c>
      <c r="L856" s="4">
        <v>0.35486111111111113</v>
      </c>
      <c r="M856" s="3" t="s">
        <v>861</v>
      </c>
      <c r="N856" s="3" t="s">
        <v>24</v>
      </c>
      <c r="O856" s="3" t="s">
        <v>25</v>
      </c>
    </row>
    <row r="857" spans="1:15">
      <c r="A857" s="3" t="s">
        <v>15</v>
      </c>
      <c r="B857" s="3" t="str">
        <f>"009935712231"</f>
        <v>009935712231</v>
      </c>
      <c r="C857" s="3" t="s">
        <v>410</v>
      </c>
      <c r="D857" s="3">
        <v>1</v>
      </c>
      <c r="E857" s="3" t="str">
        <f>"KAVENESH"</f>
        <v>KAVENESH</v>
      </c>
      <c r="F857" s="3" t="s">
        <v>17</v>
      </c>
      <c r="G857" s="3" t="s">
        <v>18</v>
      </c>
      <c r="H857" s="3" t="s">
        <v>36</v>
      </c>
      <c r="I857" s="3" t="s">
        <v>37</v>
      </c>
      <c r="J857" s="3" t="s">
        <v>943</v>
      </c>
      <c r="K857" s="3" t="s">
        <v>778</v>
      </c>
      <c r="L857" s="4">
        <v>0.3666666666666667</v>
      </c>
      <c r="M857" s="3" t="s">
        <v>794</v>
      </c>
      <c r="N857" s="3" t="s">
        <v>24</v>
      </c>
      <c r="O857" s="3" t="s">
        <v>25</v>
      </c>
    </row>
    <row r="858" spans="1:15">
      <c r="A858" s="3" t="s">
        <v>15</v>
      </c>
      <c r="B858" s="3" t="str">
        <f>"FES1162740404"</f>
        <v>FES1162740404</v>
      </c>
      <c r="C858" s="3" t="s">
        <v>410</v>
      </c>
      <c r="D858" s="3">
        <v>1</v>
      </c>
      <c r="E858" s="3" t="str">
        <f>"2170732005"</f>
        <v>2170732005</v>
      </c>
      <c r="F858" s="3" t="s">
        <v>17</v>
      </c>
      <c r="G858" s="3" t="s">
        <v>18</v>
      </c>
      <c r="H858" s="3" t="s">
        <v>18</v>
      </c>
      <c r="I858" s="3" t="s">
        <v>313</v>
      </c>
      <c r="J858" s="3" t="s">
        <v>572</v>
      </c>
      <c r="K858" s="3" t="s">
        <v>778</v>
      </c>
      <c r="L858" s="4">
        <v>0.40972222222222227</v>
      </c>
      <c r="M858" s="3" t="s">
        <v>798</v>
      </c>
      <c r="N858" s="3" t="s">
        <v>24</v>
      </c>
      <c r="O858" s="3" t="s">
        <v>25</v>
      </c>
    </row>
    <row r="859" spans="1:15">
      <c r="A859" s="3" t="s">
        <v>15</v>
      </c>
      <c r="B859" s="3" t="str">
        <f>"FES1162740408"</f>
        <v>FES1162740408</v>
      </c>
      <c r="C859" s="3" t="s">
        <v>410</v>
      </c>
      <c r="D859" s="3">
        <v>1</v>
      </c>
      <c r="E859" s="3" t="str">
        <f>"2170732010"</f>
        <v>2170732010</v>
      </c>
      <c r="F859" s="3" t="s">
        <v>17</v>
      </c>
      <c r="G859" s="3" t="s">
        <v>18</v>
      </c>
      <c r="H859" s="3" t="s">
        <v>18</v>
      </c>
      <c r="I859" s="3" t="s">
        <v>341</v>
      </c>
      <c r="J859" s="3" t="s">
        <v>810</v>
      </c>
      <c r="K859" s="3" t="s">
        <v>778</v>
      </c>
      <c r="L859" s="4">
        <v>0.34513888888888888</v>
      </c>
      <c r="M859" s="3" t="s">
        <v>944</v>
      </c>
      <c r="N859" s="3" t="s">
        <v>24</v>
      </c>
      <c r="O859" s="3" t="s">
        <v>25</v>
      </c>
    </row>
    <row r="860" spans="1:15">
      <c r="A860" s="3" t="s">
        <v>15</v>
      </c>
      <c r="B860" s="3" t="str">
        <f>"FES1162740396"</f>
        <v>FES1162740396</v>
      </c>
      <c r="C860" s="3" t="s">
        <v>410</v>
      </c>
      <c r="D860" s="3">
        <v>1</v>
      </c>
      <c r="E860" s="3" t="str">
        <f>"2170731995"</f>
        <v>2170731995</v>
      </c>
      <c r="F860" s="3" t="s">
        <v>17</v>
      </c>
      <c r="G860" s="3" t="s">
        <v>18</v>
      </c>
      <c r="H860" s="3" t="s">
        <v>18</v>
      </c>
      <c r="I860" s="3" t="s">
        <v>33</v>
      </c>
      <c r="J860" s="3" t="s">
        <v>34</v>
      </c>
      <c r="K860" s="3" t="s">
        <v>778</v>
      </c>
      <c r="L860" s="4">
        <v>0.38680555555555557</v>
      </c>
      <c r="M860" s="3" t="s">
        <v>945</v>
      </c>
      <c r="N860" s="3" t="s">
        <v>24</v>
      </c>
      <c r="O860" s="3" t="s">
        <v>25</v>
      </c>
    </row>
    <row r="861" spans="1:15">
      <c r="A861" s="3" t="s">
        <v>15</v>
      </c>
      <c r="B861" s="3" t="str">
        <f>"FES1162740397"</f>
        <v>FES1162740397</v>
      </c>
      <c r="C861" s="3" t="s">
        <v>410</v>
      </c>
      <c r="D861" s="3">
        <v>1</v>
      </c>
      <c r="E861" s="3" t="str">
        <f>"2170731996"</f>
        <v>2170731996</v>
      </c>
      <c r="F861" s="3" t="s">
        <v>17</v>
      </c>
      <c r="G861" s="3" t="s">
        <v>18</v>
      </c>
      <c r="H861" s="3" t="s">
        <v>18</v>
      </c>
      <c r="I861" s="3" t="s">
        <v>33</v>
      </c>
      <c r="J861" s="3" t="s">
        <v>34</v>
      </c>
      <c r="K861" s="3" t="s">
        <v>778</v>
      </c>
      <c r="L861" s="4">
        <v>0.4291666666666667</v>
      </c>
      <c r="M861" s="3" t="s">
        <v>945</v>
      </c>
      <c r="N861" s="3" t="s">
        <v>24</v>
      </c>
      <c r="O861" s="3" t="s">
        <v>25</v>
      </c>
    </row>
    <row r="862" spans="1:15">
      <c r="A862" s="3" t="s">
        <v>15</v>
      </c>
      <c r="B862" s="3" t="str">
        <f>"FES1162740419"</f>
        <v>FES1162740419</v>
      </c>
      <c r="C862" s="3" t="s">
        <v>410</v>
      </c>
      <c r="D862" s="3">
        <v>1</v>
      </c>
      <c r="E862" s="3" t="str">
        <f>"2170732027"</f>
        <v>2170732027</v>
      </c>
      <c r="F862" s="3" t="s">
        <v>17</v>
      </c>
      <c r="G862" s="3" t="s">
        <v>18</v>
      </c>
      <c r="H862" s="3" t="s">
        <v>18</v>
      </c>
      <c r="I862" s="3" t="s">
        <v>171</v>
      </c>
      <c r="J862" s="3" t="s">
        <v>204</v>
      </c>
      <c r="K862" s="3" t="s">
        <v>778</v>
      </c>
      <c r="L862" s="4">
        <v>0.33333333333333331</v>
      </c>
      <c r="M862" s="3" t="s">
        <v>205</v>
      </c>
      <c r="N862" s="3" t="s">
        <v>24</v>
      </c>
      <c r="O862" s="3" t="s">
        <v>25</v>
      </c>
    </row>
    <row r="863" spans="1:15">
      <c r="A863" s="3" t="s">
        <v>15</v>
      </c>
      <c r="B863" s="3" t="str">
        <f>"FES1162740413"</f>
        <v>FES1162740413</v>
      </c>
      <c r="C863" s="3" t="s">
        <v>410</v>
      </c>
      <c r="D863" s="3">
        <v>1</v>
      </c>
      <c r="E863" s="3" t="str">
        <f>"2170730201"</f>
        <v>2170730201</v>
      </c>
      <c r="F863" s="3" t="s">
        <v>17</v>
      </c>
      <c r="G863" s="3" t="s">
        <v>18</v>
      </c>
      <c r="H863" s="3" t="s">
        <v>18</v>
      </c>
      <c r="I863" s="3" t="s">
        <v>171</v>
      </c>
      <c r="J863" s="3" t="s">
        <v>204</v>
      </c>
      <c r="K863" s="3" t="s">
        <v>778</v>
      </c>
      <c r="L863" s="4">
        <v>0.33333333333333331</v>
      </c>
      <c r="M863" s="3" t="s">
        <v>205</v>
      </c>
      <c r="N863" s="3" t="s">
        <v>24</v>
      </c>
      <c r="O863" s="3" t="s">
        <v>25</v>
      </c>
    </row>
    <row r="864" spans="1:15">
      <c r="A864" s="3" t="s">
        <v>15</v>
      </c>
      <c r="B864" s="3" t="str">
        <f>"FES1162740420"</f>
        <v>FES1162740420</v>
      </c>
      <c r="C864" s="3" t="s">
        <v>410</v>
      </c>
      <c r="D864" s="3">
        <v>1</v>
      </c>
      <c r="E864" s="3" t="str">
        <f>"2170732028"</f>
        <v>2170732028</v>
      </c>
      <c r="F864" s="3" t="s">
        <v>17</v>
      </c>
      <c r="G864" s="3" t="s">
        <v>18</v>
      </c>
      <c r="H864" s="3" t="s">
        <v>18</v>
      </c>
      <c r="I864" s="3" t="s">
        <v>171</v>
      </c>
      <c r="J864" s="3" t="s">
        <v>204</v>
      </c>
      <c r="K864" s="3" t="s">
        <v>778</v>
      </c>
      <c r="L864" s="4">
        <v>0.33333333333333331</v>
      </c>
      <c r="M864" s="3" t="s">
        <v>205</v>
      </c>
      <c r="N864" s="3" t="s">
        <v>24</v>
      </c>
      <c r="O864" s="3" t="s">
        <v>25</v>
      </c>
    </row>
    <row r="865" spans="1:15">
      <c r="A865" s="3" t="s">
        <v>15</v>
      </c>
      <c r="B865" s="3" t="str">
        <f>"FES1162740401"</f>
        <v>FES1162740401</v>
      </c>
      <c r="C865" s="3" t="s">
        <v>410</v>
      </c>
      <c r="D865" s="3">
        <v>1</v>
      </c>
      <c r="E865" s="3" t="str">
        <f>"2170732006"</f>
        <v>2170732006</v>
      </c>
      <c r="F865" s="3" t="s">
        <v>17</v>
      </c>
      <c r="G865" s="3" t="s">
        <v>18</v>
      </c>
      <c r="H865" s="3" t="s">
        <v>18</v>
      </c>
      <c r="I865" s="3" t="s">
        <v>171</v>
      </c>
      <c r="J865" s="3" t="s">
        <v>946</v>
      </c>
      <c r="K865" s="3" t="s">
        <v>778</v>
      </c>
      <c r="L865" s="4">
        <v>0.34166666666666662</v>
      </c>
      <c r="M865" s="3" t="s">
        <v>947</v>
      </c>
      <c r="N865" s="3" t="s">
        <v>24</v>
      </c>
      <c r="O865" s="3" t="s">
        <v>25</v>
      </c>
    </row>
    <row r="866" spans="1:15">
      <c r="A866" s="3" t="s">
        <v>15</v>
      </c>
      <c r="B866" s="3" t="str">
        <f>"FES1162740412"</f>
        <v>FES1162740412</v>
      </c>
      <c r="C866" s="3" t="s">
        <v>410</v>
      </c>
      <c r="D866" s="3">
        <v>1</v>
      </c>
      <c r="E866" s="3" t="str">
        <f>"2170732020"</f>
        <v>2170732020</v>
      </c>
      <c r="F866" s="3" t="s">
        <v>17</v>
      </c>
      <c r="G866" s="3" t="s">
        <v>18</v>
      </c>
      <c r="H866" s="3" t="s">
        <v>18</v>
      </c>
      <c r="I866" s="3" t="s">
        <v>29</v>
      </c>
      <c r="J866" s="3" t="s">
        <v>307</v>
      </c>
      <c r="K866" s="3" t="s">
        <v>778</v>
      </c>
      <c r="L866" s="4">
        <v>0.32569444444444445</v>
      </c>
      <c r="M866" s="3" t="s">
        <v>308</v>
      </c>
      <c r="N866" s="3" t="s">
        <v>24</v>
      </c>
      <c r="O866" s="3" t="s">
        <v>25</v>
      </c>
    </row>
    <row r="867" spans="1:15">
      <c r="A867" s="3" t="s">
        <v>15</v>
      </c>
      <c r="B867" s="3" t="str">
        <f>"FES1162740380"</f>
        <v>FES1162740380</v>
      </c>
      <c r="C867" s="3" t="s">
        <v>410</v>
      </c>
      <c r="D867" s="3">
        <v>1</v>
      </c>
      <c r="E867" s="3" t="str">
        <f>"2170731978"</f>
        <v>2170731978</v>
      </c>
      <c r="F867" s="3" t="s">
        <v>17</v>
      </c>
      <c r="G867" s="3" t="s">
        <v>18</v>
      </c>
      <c r="H867" s="3" t="s">
        <v>100</v>
      </c>
      <c r="I867" s="3" t="s">
        <v>101</v>
      </c>
      <c r="J867" s="3" t="s">
        <v>296</v>
      </c>
      <c r="K867" s="3" t="s">
        <v>778</v>
      </c>
      <c r="L867" s="4">
        <v>0.39305555555555555</v>
      </c>
      <c r="M867" s="3" t="s">
        <v>901</v>
      </c>
      <c r="N867" s="3" t="s">
        <v>24</v>
      </c>
      <c r="O867" s="3" t="s">
        <v>25</v>
      </c>
    </row>
    <row r="868" spans="1:15">
      <c r="A868" s="3" t="s">
        <v>15</v>
      </c>
      <c r="B868" s="3" t="str">
        <f>"FES1162740406"</f>
        <v>FES1162740406</v>
      </c>
      <c r="C868" s="3" t="s">
        <v>410</v>
      </c>
      <c r="D868" s="3">
        <v>2</v>
      </c>
      <c r="E868" s="3" t="str">
        <f>"2170732016"</f>
        <v>2170732016</v>
      </c>
      <c r="F868" s="3" t="s">
        <v>528</v>
      </c>
      <c r="G868" s="3" t="s">
        <v>948</v>
      </c>
      <c r="H868" s="3" t="s">
        <v>100</v>
      </c>
      <c r="I868" s="3" t="s">
        <v>101</v>
      </c>
      <c r="J868" s="3" t="s">
        <v>731</v>
      </c>
      <c r="K868" s="3" t="s">
        <v>363</v>
      </c>
      <c r="L868" s="4">
        <v>0.4861111111111111</v>
      </c>
      <c r="M868" s="3" t="s">
        <v>949</v>
      </c>
      <c r="N868" s="3" t="s">
        <v>24</v>
      </c>
      <c r="O868" s="3" t="s">
        <v>25</v>
      </c>
    </row>
    <row r="869" spans="1:15">
      <c r="A869" s="3" t="s">
        <v>15</v>
      </c>
      <c r="B869" s="3" t="str">
        <f>"FES1162740278"</f>
        <v>FES1162740278</v>
      </c>
      <c r="C869" s="3" t="s">
        <v>410</v>
      </c>
      <c r="D869" s="3">
        <v>1</v>
      </c>
      <c r="E869" s="3" t="str">
        <f>"21707316607"</f>
        <v>21707316607</v>
      </c>
      <c r="F869" s="3" t="s">
        <v>17</v>
      </c>
      <c r="G869" s="3" t="s">
        <v>18</v>
      </c>
      <c r="H869" s="3" t="s">
        <v>100</v>
      </c>
      <c r="I869" s="3" t="s">
        <v>117</v>
      </c>
      <c r="J869" s="3" t="s">
        <v>784</v>
      </c>
      <c r="K869" s="3" t="s">
        <v>778</v>
      </c>
      <c r="L869" s="4">
        <v>0.50902777777777775</v>
      </c>
      <c r="M869" s="3" t="s">
        <v>785</v>
      </c>
      <c r="N869" s="3" t="s">
        <v>24</v>
      </c>
      <c r="O869" s="3" t="s">
        <v>25</v>
      </c>
    </row>
    <row r="870" spans="1:15">
      <c r="A870" s="3" t="s">
        <v>15</v>
      </c>
      <c r="B870" s="3" t="str">
        <f>"FES1162740415"</f>
        <v>FES1162740415</v>
      </c>
      <c r="C870" s="3" t="s">
        <v>410</v>
      </c>
      <c r="D870" s="3">
        <v>2</v>
      </c>
      <c r="E870" s="3" t="str">
        <f>"2170732025"</f>
        <v>2170732025</v>
      </c>
      <c r="F870" s="3" t="s">
        <v>17</v>
      </c>
      <c r="G870" s="3" t="s">
        <v>18</v>
      </c>
      <c r="H870" s="3" t="s">
        <v>36</v>
      </c>
      <c r="I870" s="3" t="s">
        <v>37</v>
      </c>
      <c r="J870" s="3" t="s">
        <v>943</v>
      </c>
      <c r="K870" s="3" t="s">
        <v>778</v>
      </c>
      <c r="L870" s="4">
        <v>0.37361111111111112</v>
      </c>
      <c r="M870" s="3" t="s">
        <v>626</v>
      </c>
      <c r="N870" s="3" t="s">
        <v>24</v>
      </c>
      <c r="O870" s="3" t="s">
        <v>950</v>
      </c>
    </row>
    <row r="871" spans="1:15">
      <c r="A871" s="3" t="s">
        <v>15</v>
      </c>
      <c r="B871" s="3" t="str">
        <f>"FES1162740390"</f>
        <v>FES1162740390</v>
      </c>
      <c r="C871" s="3" t="s">
        <v>410</v>
      </c>
      <c r="D871" s="3">
        <v>1</v>
      </c>
      <c r="E871" s="3" t="str">
        <f>"2170731988"</f>
        <v>2170731988</v>
      </c>
      <c r="F871" s="3" t="s">
        <v>17</v>
      </c>
      <c r="G871" s="3" t="s">
        <v>18</v>
      </c>
      <c r="H871" s="3" t="s">
        <v>70</v>
      </c>
      <c r="I871" s="3" t="s">
        <v>71</v>
      </c>
      <c r="J871" s="3" t="s">
        <v>392</v>
      </c>
      <c r="K871" s="3" t="s">
        <v>778</v>
      </c>
      <c r="L871" s="4">
        <v>0.55902777777777779</v>
      </c>
      <c r="M871" s="3" t="s">
        <v>885</v>
      </c>
      <c r="N871" s="3" t="s">
        <v>24</v>
      </c>
      <c r="O871" s="3" t="s">
        <v>25</v>
      </c>
    </row>
    <row r="872" spans="1:15">
      <c r="A872" s="3" t="s">
        <v>15</v>
      </c>
      <c r="B872" s="3" t="str">
        <f>"FES1162740405"</f>
        <v>FES1162740405</v>
      </c>
      <c r="C872" s="3" t="s">
        <v>410</v>
      </c>
      <c r="D872" s="3">
        <v>1</v>
      </c>
      <c r="E872" s="3" t="str">
        <f>"2170732009"</f>
        <v>2170732009</v>
      </c>
      <c r="F872" s="3" t="s">
        <v>17</v>
      </c>
      <c r="G872" s="3" t="s">
        <v>18</v>
      </c>
      <c r="H872" s="3" t="s">
        <v>19</v>
      </c>
      <c r="I872" s="3" t="s">
        <v>20</v>
      </c>
      <c r="J872" s="3" t="s">
        <v>56</v>
      </c>
      <c r="K872" s="3" t="s">
        <v>778</v>
      </c>
      <c r="L872" s="4">
        <v>0.3527777777777778</v>
      </c>
      <c r="M872" s="3" t="s">
        <v>57</v>
      </c>
      <c r="N872" s="3" t="s">
        <v>24</v>
      </c>
      <c r="O872" s="3" t="s">
        <v>25</v>
      </c>
    </row>
    <row r="873" spans="1:15">
      <c r="A873" s="3" t="s">
        <v>15</v>
      </c>
      <c r="B873" s="3" t="str">
        <f>"FES1162740402"</f>
        <v>FES1162740402</v>
      </c>
      <c r="C873" s="3" t="s">
        <v>410</v>
      </c>
      <c r="D873" s="3">
        <v>1</v>
      </c>
      <c r="E873" s="3" t="str">
        <f>"2170732007"</f>
        <v>2170732007</v>
      </c>
      <c r="F873" s="3" t="s">
        <v>17</v>
      </c>
      <c r="G873" s="3" t="s">
        <v>18</v>
      </c>
      <c r="H873" s="3" t="s">
        <v>19</v>
      </c>
      <c r="I873" s="3" t="s">
        <v>20</v>
      </c>
      <c r="J873" s="3" t="s">
        <v>951</v>
      </c>
      <c r="K873" s="3" t="s">
        <v>778</v>
      </c>
      <c r="L873" s="4">
        <v>0.41666666666666669</v>
      </c>
      <c r="M873" s="3" t="s">
        <v>952</v>
      </c>
      <c r="N873" s="3" t="s">
        <v>24</v>
      </c>
      <c r="O873" s="3" t="s">
        <v>25</v>
      </c>
    </row>
    <row r="874" spans="1:15">
      <c r="A874" s="3" t="s">
        <v>15</v>
      </c>
      <c r="B874" s="3" t="str">
        <f>"FES1162740392"</f>
        <v>FES1162740392</v>
      </c>
      <c r="C874" s="3" t="s">
        <v>410</v>
      </c>
      <c r="D874" s="3">
        <v>1</v>
      </c>
      <c r="E874" s="3" t="str">
        <f>"2170731994"</f>
        <v>2170731994</v>
      </c>
      <c r="F874" s="3" t="s">
        <v>17</v>
      </c>
      <c r="G874" s="3" t="s">
        <v>18</v>
      </c>
      <c r="H874" s="3" t="s">
        <v>18</v>
      </c>
      <c r="I874" s="3" t="s">
        <v>33</v>
      </c>
      <c r="J874" s="3" t="s">
        <v>953</v>
      </c>
      <c r="K874" s="3" t="s">
        <v>778</v>
      </c>
      <c r="L874" s="4">
        <v>0.34791666666666665</v>
      </c>
      <c r="M874" s="3" t="s">
        <v>954</v>
      </c>
      <c r="N874" s="3" t="s">
        <v>24</v>
      </c>
      <c r="O874" s="3" t="s">
        <v>25</v>
      </c>
    </row>
    <row r="875" spans="1:15">
      <c r="A875" s="3" t="s">
        <v>15</v>
      </c>
      <c r="B875" s="3" t="str">
        <f>"FES1162740398"</f>
        <v>FES1162740398</v>
      </c>
      <c r="C875" s="3" t="s">
        <v>410</v>
      </c>
      <c r="D875" s="3">
        <v>1</v>
      </c>
      <c r="E875" s="3" t="str">
        <f>"2170731997"</f>
        <v>2170731997</v>
      </c>
      <c r="F875" s="3" t="s">
        <v>17</v>
      </c>
      <c r="G875" s="3" t="s">
        <v>18</v>
      </c>
      <c r="H875" s="3" t="s">
        <v>18</v>
      </c>
      <c r="I875" s="3" t="s">
        <v>33</v>
      </c>
      <c r="J875" s="3" t="s">
        <v>34</v>
      </c>
      <c r="K875" s="3" t="s">
        <v>778</v>
      </c>
      <c r="L875" s="4">
        <v>0.42986111111111108</v>
      </c>
      <c r="M875" s="3" t="s">
        <v>945</v>
      </c>
      <c r="N875" s="3" t="s">
        <v>24</v>
      </c>
      <c r="O875" s="3" t="s">
        <v>25</v>
      </c>
    </row>
    <row r="876" spans="1:15">
      <c r="A876" s="3" t="s">
        <v>15</v>
      </c>
      <c r="B876" s="3" t="str">
        <f>"FES1162740131"</f>
        <v>FES1162740131</v>
      </c>
      <c r="C876" s="3" t="s">
        <v>410</v>
      </c>
      <c r="D876" s="3">
        <v>1</v>
      </c>
      <c r="E876" s="3" t="str">
        <f>"2170725447"</f>
        <v>2170725447</v>
      </c>
      <c r="F876" s="3" t="s">
        <v>17</v>
      </c>
      <c r="G876" s="3" t="s">
        <v>18</v>
      </c>
      <c r="H876" s="3" t="s">
        <v>18</v>
      </c>
      <c r="I876" s="3" t="s">
        <v>29</v>
      </c>
      <c r="J876" s="3" t="s">
        <v>307</v>
      </c>
      <c r="K876" s="3" t="s">
        <v>778</v>
      </c>
      <c r="L876" s="4">
        <v>0.32500000000000001</v>
      </c>
      <c r="M876" s="3" t="s">
        <v>308</v>
      </c>
      <c r="N876" s="3" t="s">
        <v>24</v>
      </c>
      <c r="O876" s="3" t="s">
        <v>25</v>
      </c>
    </row>
    <row r="877" spans="1:15">
      <c r="A877" s="3" t="s">
        <v>15</v>
      </c>
      <c r="B877" s="3" t="str">
        <f>"FES1162740375"</f>
        <v>FES1162740375</v>
      </c>
      <c r="C877" s="3" t="s">
        <v>410</v>
      </c>
      <c r="D877" s="3">
        <v>1</v>
      </c>
      <c r="E877" s="3" t="str">
        <f>"2170731974"</f>
        <v>2170731974</v>
      </c>
      <c r="F877" s="3" t="s">
        <v>17</v>
      </c>
      <c r="G877" s="3" t="s">
        <v>18</v>
      </c>
      <c r="H877" s="3" t="s">
        <v>19</v>
      </c>
      <c r="I877" s="3" t="s">
        <v>20</v>
      </c>
      <c r="J877" s="3" t="s">
        <v>955</v>
      </c>
      <c r="K877" s="3" t="s">
        <v>778</v>
      </c>
      <c r="L877" s="4">
        <v>0.63888888888888895</v>
      </c>
      <c r="M877" s="3" t="s">
        <v>956</v>
      </c>
      <c r="N877" s="3" t="s">
        <v>24</v>
      </c>
      <c r="O877" s="3" t="s">
        <v>25</v>
      </c>
    </row>
    <row r="878" spans="1:15">
      <c r="A878" s="3" t="s">
        <v>15</v>
      </c>
      <c r="B878" s="3" t="str">
        <f>"FES1162740383"</f>
        <v>FES1162740383</v>
      </c>
      <c r="C878" s="3" t="s">
        <v>410</v>
      </c>
      <c r="D878" s="3">
        <v>1</v>
      </c>
      <c r="E878" s="3" t="str">
        <f>"2170731981"</f>
        <v>2170731981</v>
      </c>
      <c r="F878" s="3" t="s">
        <v>17</v>
      </c>
      <c r="G878" s="3" t="s">
        <v>18</v>
      </c>
      <c r="H878" s="3" t="s">
        <v>19</v>
      </c>
      <c r="I878" s="3" t="s">
        <v>20</v>
      </c>
      <c r="J878" s="3" t="s">
        <v>951</v>
      </c>
      <c r="K878" s="3" t="s">
        <v>778</v>
      </c>
      <c r="L878" s="4">
        <v>0.30763888888888891</v>
      </c>
      <c r="M878" s="3" t="s">
        <v>200</v>
      </c>
      <c r="N878" s="3" t="s">
        <v>24</v>
      </c>
      <c r="O878" s="3" t="s">
        <v>25</v>
      </c>
    </row>
    <row r="879" spans="1:15">
      <c r="A879" s="3" t="s">
        <v>15</v>
      </c>
      <c r="B879" s="3" t="str">
        <f>"FES1162740424"</f>
        <v>FES1162740424</v>
      </c>
      <c r="C879" s="3" t="s">
        <v>410</v>
      </c>
      <c r="D879" s="3">
        <v>1</v>
      </c>
      <c r="E879" s="3" t="str">
        <f>"2170731989"</f>
        <v>2170731989</v>
      </c>
      <c r="F879" s="3" t="s">
        <v>17</v>
      </c>
      <c r="G879" s="3" t="s">
        <v>18</v>
      </c>
      <c r="H879" s="3" t="s">
        <v>40</v>
      </c>
      <c r="I879" s="3" t="s">
        <v>431</v>
      </c>
      <c r="J879" s="3" t="s">
        <v>957</v>
      </c>
      <c r="K879" s="3" t="s">
        <v>778</v>
      </c>
      <c r="L879" s="4">
        <v>0.4375</v>
      </c>
      <c r="M879" s="3" t="s">
        <v>958</v>
      </c>
      <c r="N879" s="3" t="s">
        <v>24</v>
      </c>
      <c r="O879" s="3" t="s">
        <v>25</v>
      </c>
    </row>
    <row r="880" spans="1:15">
      <c r="A880" s="3" t="s">
        <v>15</v>
      </c>
      <c r="B880" s="3" t="str">
        <f>"FES1162740416"</f>
        <v>FES1162740416</v>
      </c>
      <c r="C880" s="3" t="s">
        <v>410</v>
      </c>
      <c r="D880" s="3">
        <v>1</v>
      </c>
      <c r="E880" s="3" t="str">
        <f>"2170727853"</f>
        <v>2170727853</v>
      </c>
      <c r="F880" s="3" t="s">
        <v>17</v>
      </c>
      <c r="G880" s="3" t="s">
        <v>18</v>
      </c>
      <c r="H880" s="3" t="s">
        <v>36</v>
      </c>
      <c r="I880" s="3" t="s">
        <v>37</v>
      </c>
      <c r="J880" s="3" t="s">
        <v>187</v>
      </c>
      <c r="K880" s="3" t="s">
        <v>778</v>
      </c>
      <c r="L880" s="4">
        <v>0.35416666666666669</v>
      </c>
      <c r="M880" s="3" t="s">
        <v>820</v>
      </c>
      <c r="N880" s="3" t="s">
        <v>24</v>
      </c>
      <c r="O880" s="3" t="s">
        <v>25</v>
      </c>
    </row>
    <row r="881" spans="1:15">
      <c r="A881" s="3" t="s">
        <v>15</v>
      </c>
      <c r="B881" s="3" t="str">
        <f>"FES1162740393"</f>
        <v>FES1162740393</v>
      </c>
      <c r="C881" s="3" t="s">
        <v>410</v>
      </c>
      <c r="D881" s="3">
        <v>1</v>
      </c>
      <c r="E881" s="3" t="str">
        <f>"2170740393"</f>
        <v>2170740393</v>
      </c>
      <c r="F881" s="3" t="s">
        <v>17</v>
      </c>
      <c r="G881" s="3" t="s">
        <v>18</v>
      </c>
      <c r="H881" s="3" t="s">
        <v>70</v>
      </c>
      <c r="I881" s="3" t="s">
        <v>71</v>
      </c>
      <c r="J881" s="3" t="s">
        <v>243</v>
      </c>
      <c r="K881" s="3" t="s">
        <v>778</v>
      </c>
      <c r="L881" s="4">
        <v>0.38194444444444442</v>
      </c>
      <c r="M881" s="3" t="s">
        <v>779</v>
      </c>
      <c r="N881" s="3" t="s">
        <v>24</v>
      </c>
      <c r="O881" s="3" t="s">
        <v>25</v>
      </c>
    </row>
    <row r="882" spans="1:15">
      <c r="A882" s="3" t="s">
        <v>15</v>
      </c>
      <c r="B882" s="3" t="str">
        <f>"FES1162740395"</f>
        <v>FES1162740395</v>
      </c>
      <c r="C882" s="3" t="s">
        <v>410</v>
      </c>
      <c r="D882" s="3">
        <v>1</v>
      </c>
      <c r="E882" s="3" t="str">
        <f>"2170731993"</f>
        <v>2170731993</v>
      </c>
      <c r="F882" s="3" t="s">
        <v>17</v>
      </c>
      <c r="G882" s="3" t="s">
        <v>18</v>
      </c>
      <c r="H882" s="3" t="s">
        <v>19</v>
      </c>
      <c r="I882" s="3" t="s">
        <v>20</v>
      </c>
      <c r="J882" s="3" t="s">
        <v>56</v>
      </c>
      <c r="K882" s="3" t="s">
        <v>778</v>
      </c>
      <c r="L882" s="4">
        <v>0.3527777777777778</v>
      </c>
      <c r="M882" s="3" t="s">
        <v>57</v>
      </c>
      <c r="N882" s="3" t="s">
        <v>24</v>
      </c>
      <c r="O882" s="3" t="s">
        <v>25</v>
      </c>
    </row>
    <row r="883" spans="1:15">
      <c r="A883" s="3" t="s">
        <v>15</v>
      </c>
      <c r="B883" s="3" t="str">
        <f>"FES1162740427"</f>
        <v>FES1162740427</v>
      </c>
      <c r="C883" s="3" t="s">
        <v>410</v>
      </c>
      <c r="D883" s="3">
        <v>1</v>
      </c>
      <c r="E883" s="3" t="str">
        <f>"2170732035"</f>
        <v>2170732035</v>
      </c>
      <c r="F883" s="3" t="s">
        <v>17</v>
      </c>
      <c r="G883" s="3" t="s">
        <v>18</v>
      </c>
      <c r="H883" s="3" t="s">
        <v>366</v>
      </c>
      <c r="I883" s="3" t="s">
        <v>67</v>
      </c>
      <c r="J883" s="3" t="s">
        <v>543</v>
      </c>
      <c r="K883" s="3" t="s">
        <v>778</v>
      </c>
      <c r="L883" s="4">
        <v>0.4201388888888889</v>
      </c>
      <c r="M883" s="3" t="s">
        <v>881</v>
      </c>
      <c r="N883" s="3" t="s">
        <v>24</v>
      </c>
      <c r="O883" s="3" t="s">
        <v>25</v>
      </c>
    </row>
    <row r="884" spans="1:15">
      <c r="A884" s="3" t="s">
        <v>15</v>
      </c>
      <c r="B884" s="3" t="str">
        <f>"FES1162740426"</f>
        <v>FES1162740426</v>
      </c>
      <c r="C884" s="3" t="s">
        <v>410</v>
      </c>
      <c r="D884" s="3">
        <v>1</v>
      </c>
      <c r="E884" s="3" t="str">
        <f>"217073034"</f>
        <v>217073034</v>
      </c>
      <c r="F884" s="3" t="s">
        <v>17</v>
      </c>
      <c r="G884" s="3" t="s">
        <v>18</v>
      </c>
      <c r="H884" s="3" t="s">
        <v>36</v>
      </c>
      <c r="I884" s="3" t="s">
        <v>174</v>
      </c>
      <c r="J884" s="3" t="s">
        <v>959</v>
      </c>
      <c r="K884" s="3" t="s">
        <v>778</v>
      </c>
      <c r="L884" s="4">
        <v>0.4069444444444445</v>
      </c>
      <c r="M884" s="3" t="s">
        <v>960</v>
      </c>
      <c r="N884" s="3" t="s">
        <v>24</v>
      </c>
      <c r="O884" s="3" t="s">
        <v>25</v>
      </c>
    </row>
    <row r="885" spans="1:15">
      <c r="A885" s="3" t="s">
        <v>15</v>
      </c>
      <c r="B885" s="3" t="str">
        <f>"FES1162740430"</f>
        <v>FES1162740430</v>
      </c>
      <c r="C885" s="3" t="s">
        <v>410</v>
      </c>
      <c r="D885" s="3">
        <v>1</v>
      </c>
      <c r="E885" s="3" t="str">
        <f>"2170732038"</f>
        <v>2170732038</v>
      </c>
      <c r="F885" s="3" t="s">
        <v>17</v>
      </c>
      <c r="G885" s="3" t="s">
        <v>18</v>
      </c>
      <c r="H885" s="3" t="s">
        <v>18</v>
      </c>
      <c r="I885" s="3" t="s">
        <v>151</v>
      </c>
      <c r="J885" s="3" t="s">
        <v>770</v>
      </c>
      <c r="K885" s="3" t="s">
        <v>778</v>
      </c>
      <c r="L885" s="4">
        <v>0.33333333333333331</v>
      </c>
      <c r="M885" s="3" t="s">
        <v>961</v>
      </c>
      <c r="N885" s="3" t="s">
        <v>24</v>
      </c>
      <c r="O885" s="3" t="s">
        <v>25</v>
      </c>
    </row>
    <row r="886" spans="1:15">
      <c r="A886" s="3" t="s">
        <v>15</v>
      </c>
      <c r="B886" s="3" t="str">
        <f>"FES1162740376"</f>
        <v>FES1162740376</v>
      </c>
      <c r="C886" s="3" t="s">
        <v>410</v>
      </c>
      <c r="D886" s="3">
        <v>1</v>
      </c>
      <c r="E886" s="3" t="str">
        <f>"2170731977"</f>
        <v>2170731977</v>
      </c>
      <c r="F886" s="3" t="s">
        <v>17</v>
      </c>
      <c r="G886" s="3" t="s">
        <v>18</v>
      </c>
      <c r="H886" s="3" t="s">
        <v>19</v>
      </c>
      <c r="I886" s="3" t="s">
        <v>20</v>
      </c>
      <c r="J886" s="3" t="s">
        <v>56</v>
      </c>
      <c r="K886" s="3" t="s">
        <v>778</v>
      </c>
      <c r="L886" s="4">
        <v>0.3527777777777778</v>
      </c>
      <c r="M886" s="3" t="s">
        <v>57</v>
      </c>
      <c r="N886" s="3" t="s">
        <v>24</v>
      </c>
      <c r="O886" s="3" t="s">
        <v>25</v>
      </c>
    </row>
    <row r="887" spans="1:15">
      <c r="A887" s="3" t="s">
        <v>15</v>
      </c>
      <c r="B887" s="3" t="str">
        <f>"FES1162740400"</f>
        <v>FES1162740400</v>
      </c>
      <c r="C887" s="3" t="s">
        <v>410</v>
      </c>
      <c r="D887" s="3">
        <v>1</v>
      </c>
      <c r="E887" s="3" t="str">
        <f>"2170732002"</f>
        <v>2170732002</v>
      </c>
      <c r="F887" s="3" t="s">
        <v>17</v>
      </c>
      <c r="G887" s="3" t="s">
        <v>18</v>
      </c>
      <c r="H887" s="3" t="s">
        <v>19</v>
      </c>
      <c r="I887" s="3" t="s">
        <v>51</v>
      </c>
      <c r="J887" s="3" t="s">
        <v>962</v>
      </c>
      <c r="K887" s="3" t="s">
        <v>778</v>
      </c>
      <c r="L887" s="4">
        <v>0.4368055555555555</v>
      </c>
      <c r="M887" s="3" t="s">
        <v>963</v>
      </c>
      <c r="N887" s="3" t="s">
        <v>24</v>
      </c>
      <c r="O887" s="3" t="s">
        <v>25</v>
      </c>
    </row>
    <row r="888" spans="1:15">
      <c r="A888" s="3" t="s">
        <v>15</v>
      </c>
      <c r="B888" s="3" t="str">
        <f>"FES1162740399"</f>
        <v>FES1162740399</v>
      </c>
      <c r="C888" s="3" t="s">
        <v>410</v>
      </c>
      <c r="D888" s="3">
        <v>1</v>
      </c>
      <c r="E888" s="3" t="str">
        <f>"2170731998"</f>
        <v>2170731998</v>
      </c>
      <c r="F888" s="3" t="s">
        <v>17</v>
      </c>
      <c r="G888" s="3" t="s">
        <v>18</v>
      </c>
      <c r="H888" s="3" t="s">
        <v>70</v>
      </c>
      <c r="I888" s="3" t="s">
        <v>931</v>
      </c>
      <c r="J888" s="3" t="s">
        <v>964</v>
      </c>
      <c r="K888" s="3" t="s">
        <v>778</v>
      </c>
      <c r="L888" s="4">
        <v>0.47222222222222227</v>
      </c>
      <c r="M888" s="3" t="s">
        <v>965</v>
      </c>
      <c r="N888" s="3" t="s">
        <v>24</v>
      </c>
      <c r="O888" s="3" t="s">
        <v>25</v>
      </c>
    </row>
    <row r="889" spans="1:15">
      <c r="A889" s="3" t="s">
        <v>15</v>
      </c>
      <c r="B889" s="3" t="str">
        <f>"FES1162740373"</f>
        <v>FES1162740373</v>
      </c>
      <c r="C889" s="3" t="s">
        <v>410</v>
      </c>
      <c r="D889" s="3">
        <v>1</v>
      </c>
      <c r="E889" s="3" t="str">
        <f>"2170731972"</f>
        <v>2170731972</v>
      </c>
      <c r="F889" s="3" t="s">
        <v>17</v>
      </c>
      <c r="G889" s="3" t="s">
        <v>18</v>
      </c>
      <c r="H889" s="3" t="s">
        <v>19</v>
      </c>
      <c r="I889" s="3" t="s">
        <v>20</v>
      </c>
      <c r="J889" s="3" t="s">
        <v>84</v>
      </c>
      <c r="K889" s="3" t="s">
        <v>778</v>
      </c>
      <c r="L889" s="4">
        <v>0.38680555555555557</v>
      </c>
      <c r="M889" s="3" t="s">
        <v>85</v>
      </c>
      <c r="N889" s="3" t="s">
        <v>24</v>
      </c>
      <c r="O889" s="3" t="s">
        <v>25</v>
      </c>
    </row>
    <row r="890" spans="1:15">
      <c r="A890" s="3" t="s">
        <v>15</v>
      </c>
      <c r="B890" s="3" t="str">
        <f>"FES1162740382"</f>
        <v>FES1162740382</v>
      </c>
      <c r="C890" s="3" t="s">
        <v>410</v>
      </c>
      <c r="D890" s="3">
        <v>1</v>
      </c>
      <c r="E890" s="3" t="str">
        <f>"2170731980"</f>
        <v>2170731980</v>
      </c>
      <c r="F890" s="3" t="s">
        <v>17</v>
      </c>
      <c r="G890" s="3" t="s">
        <v>18</v>
      </c>
      <c r="H890" s="3" t="s">
        <v>19</v>
      </c>
      <c r="I890" s="3" t="s">
        <v>51</v>
      </c>
      <c r="J890" s="3" t="s">
        <v>52</v>
      </c>
      <c r="K890" s="3" t="s">
        <v>778</v>
      </c>
      <c r="L890" s="4">
        <v>0.3215277777777778</v>
      </c>
      <c r="M890" s="3" t="s">
        <v>53</v>
      </c>
      <c r="N890" s="3" t="s">
        <v>24</v>
      </c>
      <c r="O890" s="3" t="s">
        <v>25</v>
      </c>
    </row>
    <row r="891" spans="1:15">
      <c r="A891" s="3" t="s">
        <v>15</v>
      </c>
      <c r="B891" s="3" t="str">
        <f>"FES1162740422"</f>
        <v>FES1162740422</v>
      </c>
      <c r="C891" s="3" t="s">
        <v>410</v>
      </c>
      <c r="D891" s="3">
        <v>1</v>
      </c>
      <c r="E891" s="3" t="str">
        <f>"2170730359"</f>
        <v>2170730359</v>
      </c>
      <c r="F891" s="3" t="s">
        <v>17</v>
      </c>
      <c r="G891" s="3" t="s">
        <v>18</v>
      </c>
      <c r="H891" s="3" t="s">
        <v>36</v>
      </c>
      <c r="I891" s="3" t="s">
        <v>37</v>
      </c>
      <c r="J891" s="3" t="s">
        <v>187</v>
      </c>
      <c r="K891" s="3" t="s">
        <v>778</v>
      </c>
      <c r="L891" s="4">
        <v>0.35416666666666669</v>
      </c>
      <c r="M891" s="3" t="s">
        <v>820</v>
      </c>
      <c r="N891" s="3" t="s">
        <v>24</v>
      </c>
      <c r="O891" s="3" t="s">
        <v>25</v>
      </c>
    </row>
    <row r="892" spans="1:15">
      <c r="A892" s="3" t="s">
        <v>15</v>
      </c>
      <c r="B892" s="3" t="str">
        <f>"FES1162740431"</f>
        <v>FES1162740431</v>
      </c>
      <c r="C892" s="3" t="s">
        <v>410</v>
      </c>
      <c r="D892" s="3">
        <v>1</v>
      </c>
      <c r="E892" s="3" t="str">
        <f>"2170732039"</f>
        <v>2170732039</v>
      </c>
      <c r="F892" s="3" t="s">
        <v>17</v>
      </c>
      <c r="G892" s="3" t="s">
        <v>18</v>
      </c>
      <c r="H892" s="3" t="s">
        <v>18</v>
      </c>
      <c r="I892" s="3" t="s">
        <v>33</v>
      </c>
      <c r="J892" s="3" t="s">
        <v>966</v>
      </c>
      <c r="K892" s="3" t="s">
        <v>778</v>
      </c>
      <c r="L892" s="4">
        <v>0.34513888888888888</v>
      </c>
      <c r="M892" s="3" t="s">
        <v>967</v>
      </c>
      <c r="N892" s="3" t="s">
        <v>24</v>
      </c>
      <c r="O892" s="3" t="s">
        <v>25</v>
      </c>
    </row>
    <row r="893" spans="1:15">
      <c r="A893" s="3" t="s">
        <v>15</v>
      </c>
      <c r="B893" s="3" t="str">
        <f>"FES1162740421"</f>
        <v>FES1162740421</v>
      </c>
      <c r="C893" s="3" t="s">
        <v>410</v>
      </c>
      <c r="D893" s="3">
        <v>1</v>
      </c>
      <c r="E893" s="3" t="str">
        <f>"2170732033"</f>
        <v>2170732033</v>
      </c>
      <c r="F893" s="3" t="s">
        <v>17</v>
      </c>
      <c r="G893" s="3" t="s">
        <v>18</v>
      </c>
      <c r="H893" s="3" t="s">
        <v>18</v>
      </c>
      <c r="I893" s="3" t="s">
        <v>291</v>
      </c>
      <c r="J893" s="3" t="s">
        <v>968</v>
      </c>
      <c r="K893" s="3" t="s">
        <v>778</v>
      </c>
      <c r="L893" s="4">
        <v>0.33333333333333331</v>
      </c>
      <c r="M893" s="3" t="s">
        <v>969</v>
      </c>
      <c r="N893" s="3" t="s">
        <v>24</v>
      </c>
      <c r="O893" s="3" t="s">
        <v>25</v>
      </c>
    </row>
    <row r="894" spans="1:15">
      <c r="A894" s="3" t="s">
        <v>15</v>
      </c>
      <c r="B894" s="3" t="str">
        <f>"FES1162740436"</f>
        <v>FES1162740436</v>
      </c>
      <c r="C894" s="3" t="s">
        <v>410</v>
      </c>
      <c r="D894" s="3">
        <v>1</v>
      </c>
      <c r="E894" s="3" t="str">
        <f>"2170732024"</f>
        <v>2170732024</v>
      </c>
      <c r="F894" s="3" t="s">
        <v>17</v>
      </c>
      <c r="G894" s="3" t="s">
        <v>18</v>
      </c>
      <c r="H894" s="3" t="s">
        <v>66</v>
      </c>
      <c r="I894" s="3" t="s">
        <v>177</v>
      </c>
      <c r="J894" s="3" t="s">
        <v>970</v>
      </c>
      <c r="K894" s="3" t="s">
        <v>778</v>
      </c>
      <c r="L894" s="4">
        <v>0.40972222222222227</v>
      </c>
      <c r="M894" s="3" t="s">
        <v>179</v>
      </c>
      <c r="N894" s="3" t="s">
        <v>24</v>
      </c>
      <c r="O894" s="3" t="s">
        <v>25</v>
      </c>
    </row>
    <row r="895" spans="1:15">
      <c r="A895" s="3" t="s">
        <v>15</v>
      </c>
      <c r="B895" s="3" t="str">
        <f>"FES1162740432"</f>
        <v>FES1162740432</v>
      </c>
      <c r="C895" s="3" t="s">
        <v>410</v>
      </c>
      <c r="D895" s="3">
        <v>1</v>
      </c>
      <c r="E895" s="3" t="str">
        <f>"21707432041"</f>
        <v>21707432041</v>
      </c>
      <c r="F895" s="3" t="s">
        <v>17</v>
      </c>
      <c r="G895" s="3" t="s">
        <v>18</v>
      </c>
      <c r="H895" s="3" t="s">
        <v>18</v>
      </c>
      <c r="I895" s="3" t="s">
        <v>291</v>
      </c>
      <c r="J895" s="3" t="s">
        <v>971</v>
      </c>
      <c r="K895" s="3" t="s">
        <v>778</v>
      </c>
      <c r="L895" s="4">
        <v>0.33333333333333331</v>
      </c>
      <c r="M895" s="3" t="s">
        <v>972</v>
      </c>
      <c r="N895" s="3" t="s">
        <v>24</v>
      </c>
      <c r="O895" s="3" t="s">
        <v>317</v>
      </c>
    </row>
    <row r="896" spans="1:15">
      <c r="A896" s="3" t="s">
        <v>15</v>
      </c>
      <c r="B896" s="3" t="str">
        <f>"FES1162740409"</f>
        <v>FES1162740409</v>
      </c>
      <c r="C896" s="3" t="s">
        <v>410</v>
      </c>
      <c r="D896" s="3">
        <v>1</v>
      </c>
      <c r="E896" s="3" t="str">
        <f>"2170732011"</f>
        <v>2170732011</v>
      </c>
      <c r="F896" s="3" t="s">
        <v>17</v>
      </c>
      <c r="G896" s="3" t="s">
        <v>18</v>
      </c>
      <c r="H896" s="3" t="s">
        <v>36</v>
      </c>
      <c r="I896" s="3" t="s">
        <v>37</v>
      </c>
      <c r="J896" s="3" t="s">
        <v>902</v>
      </c>
      <c r="K896" s="3" t="s">
        <v>778</v>
      </c>
      <c r="L896" s="4">
        <v>0.40347222222222223</v>
      </c>
      <c r="M896" s="3" t="s">
        <v>973</v>
      </c>
      <c r="N896" s="3" t="s">
        <v>24</v>
      </c>
      <c r="O896" s="3" t="s">
        <v>25</v>
      </c>
    </row>
    <row r="897" spans="1:15">
      <c r="A897" s="3" t="s">
        <v>15</v>
      </c>
      <c r="B897" s="3" t="str">
        <f>"FES1162740386"</f>
        <v>FES1162740386</v>
      </c>
      <c r="C897" s="3" t="s">
        <v>410</v>
      </c>
      <c r="D897" s="3">
        <v>1</v>
      </c>
      <c r="E897" s="3" t="str">
        <f>"2170731741"</f>
        <v>2170731741</v>
      </c>
      <c r="F897" s="3" t="s">
        <v>17</v>
      </c>
      <c r="G897" s="3" t="s">
        <v>18</v>
      </c>
      <c r="H897" s="3" t="s">
        <v>36</v>
      </c>
      <c r="I897" s="3" t="s">
        <v>37</v>
      </c>
      <c r="J897" s="3" t="s">
        <v>585</v>
      </c>
      <c r="K897" s="3" t="s">
        <v>778</v>
      </c>
      <c r="L897" s="4">
        <v>0.36736111111111108</v>
      </c>
      <c r="M897" s="3" t="s">
        <v>862</v>
      </c>
      <c r="N897" s="3" t="s">
        <v>24</v>
      </c>
      <c r="O897" s="3" t="s">
        <v>25</v>
      </c>
    </row>
    <row r="898" spans="1:15">
      <c r="A898" s="3" t="s">
        <v>15</v>
      </c>
      <c r="B898" s="3" t="str">
        <f>"FES1162740414"</f>
        <v>FES1162740414</v>
      </c>
      <c r="C898" s="3" t="s">
        <v>410</v>
      </c>
      <c r="D898" s="3">
        <v>1</v>
      </c>
      <c r="E898" s="3" t="str">
        <f>"2170731914"</f>
        <v>2170731914</v>
      </c>
      <c r="F898" s="3" t="s">
        <v>17</v>
      </c>
      <c r="G898" s="3" t="s">
        <v>18</v>
      </c>
      <c r="H898" s="3" t="s">
        <v>36</v>
      </c>
      <c r="I898" s="3" t="s">
        <v>37</v>
      </c>
      <c r="J898" s="3" t="s">
        <v>187</v>
      </c>
      <c r="K898" s="3" t="s">
        <v>778</v>
      </c>
      <c r="L898" s="4">
        <v>0.35416666666666669</v>
      </c>
      <c r="M898" s="3" t="s">
        <v>188</v>
      </c>
      <c r="N898" s="3" t="s">
        <v>24</v>
      </c>
      <c r="O898" s="3" t="s">
        <v>25</v>
      </c>
    </row>
    <row r="899" spans="1:15">
      <c r="A899" s="3" t="s">
        <v>15</v>
      </c>
      <c r="B899" s="3" t="str">
        <f>"FES1162740385"</f>
        <v>FES1162740385</v>
      </c>
      <c r="C899" s="3" t="s">
        <v>410</v>
      </c>
      <c r="D899" s="3">
        <v>2</v>
      </c>
      <c r="E899" s="3" t="str">
        <f>"2170731984"</f>
        <v>2170731984</v>
      </c>
      <c r="F899" s="3" t="s">
        <v>17</v>
      </c>
      <c r="G899" s="3" t="s">
        <v>18</v>
      </c>
      <c r="H899" s="3" t="s">
        <v>100</v>
      </c>
      <c r="I899" s="3" t="s">
        <v>101</v>
      </c>
      <c r="J899" s="3" t="s">
        <v>731</v>
      </c>
      <c r="K899" s="3" t="s">
        <v>778</v>
      </c>
      <c r="L899" s="4">
        <v>0.30902777777777779</v>
      </c>
      <c r="M899" s="3" t="s">
        <v>425</v>
      </c>
      <c r="N899" s="3" t="s">
        <v>24</v>
      </c>
      <c r="O899" s="3" t="s">
        <v>974</v>
      </c>
    </row>
    <row r="900" spans="1:15">
      <c r="A900" s="3" t="s">
        <v>15</v>
      </c>
      <c r="B900" s="3" t="str">
        <f>"FES1162740450"</f>
        <v>FES1162740450</v>
      </c>
      <c r="C900" s="3" t="s">
        <v>778</v>
      </c>
      <c r="D900" s="3">
        <v>1</v>
      </c>
      <c r="E900" s="3" t="str">
        <f>"2170732051"</f>
        <v>2170732051</v>
      </c>
      <c r="F900" s="3" t="s">
        <v>17</v>
      </c>
      <c r="G900" s="3" t="s">
        <v>18</v>
      </c>
      <c r="H900" s="3" t="s">
        <v>66</v>
      </c>
      <c r="I900" s="3" t="s">
        <v>177</v>
      </c>
      <c r="J900" s="3" t="s">
        <v>505</v>
      </c>
      <c r="K900" s="3" t="s">
        <v>363</v>
      </c>
      <c r="L900" s="4">
        <v>0.40277777777777773</v>
      </c>
      <c r="M900" s="3" t="s">
        <v>299</v>
      </c>
      <c r="N900" s="3" t="s">
        <v>24</v>
      </c>
      <c r="O900" s="3" t="s">
        <v>25</v>
      </c>
    </row>
    <row r="901" spans="1:15">
      <c r="A901" s="3" t="s">
        <v>15</v>
      </c>
      <c r="B901" s="3" t="str">
        <f>"FES1162740455"</f>
        <v>FES1162740455</v>
      </c>
      <c r="C901" s="3" t="s">
        <v>778</v>
      </c>
      <c r="D901" s="3">
        <v>1</v>
      </c>
      <c r="E901" s="3" t="str">
        <f>"2170732059"</f>
        <v>2170732059</v>
      </c>
      <c r="F901" s="3" t="s">
        <v>17</v>
      </c>
      <c r="G901" s="3" t="s">
        <v>18</v>
      </c>
      <c r="H901" s="3" t="s">
        <v>66</v>
      </c>
      <c r="I901" s="3" t="s">
        <v>67</v>
      </c>
      <c r="J901" s="3" t="s">
        <v>975</v>
      </c>
      <c r="K901" s="3" t="s">
        <v>363</v>
      </c>
      <c r="L901" s="4">
        <v>0.3833333333333333</v>
      </c>
      <c r="M901" s="3" t="s">
        <v>907</v>
      </c>
      <c r="N901" s="3" t="s">
        <v>24</v>
      </c>
      <c r="O901" s="3" t="s">
        <v>25</v>
      </c>
    </row>
    <row r="902" spans="1:15">
      <c r="A902" s="3" t="s">
        <v>15</v>
      </c>
      <c r="B902" s="3" t="str">
        <f>"FES1162740481"</f>
        <v>FES1162740481</v>
      </c>
      <c r="C902" s="3" t="s">
        <v>778</v>
      </c>
      <c r="D902" s="3">
        <v>1</v>
      </c>
      <c r="E902" s="3" t="str">
        <f>"2170732081"</f>
        <v>2170732081</v>
      </c>
      <c r="F902" s="3" t="s">
        <v>17</v>
      </c>
      <c r="G902" s="3" t="s">
        <v>18</v>
      </c>
      <c r="H902" s="3" t="s">
        <v>19</v>
      </c>
      <c r="I902" s="3" t="s">
        <v>236</v>
      </c>
      <c r="J902" s="3" t="s">
        <v>257</v>
      </c>
      <c r="K902" s="3" t="s">
        <v>363</v>
      </c>
      <c r="L902" s="4">
        <v>0.35069444444444442</v>
      </c>
      <c r="M902" s="3" t="s">
        <v>819</v>
      </c>
      <c r="N902" s="3" t="s">
        <v>24</v>
      </c>
      <c r="O902" s="3" t="s">
        <v>25</v>
      </c>
    </row>
    <row r="903" spans="1:15">
      <c r="A903" s="3" t="s">
        <v>15</v>
      </c>
      <c r="B903" s="3" t="str">
        <f>"FES1162740485"</f>
        <v>FES1162740485</v>
      </c>
      <c r="C903" s="3" t="s">
        <v>778</v>
      </c>
      <c r="D903" s="3">
        <v>2</v>
      </c>
      <c r="E903" s="3" t="str">
        <f>"2170732083"</f>
        <v>2170732083</v>
      </c>
      <c r="F903" s="3" t="s">
        <v>17</v>
      </c>
      <c r="G903" s="3" t="s">
        <v>18</v>
      </c>
      <c r="H903" s="3" t="s">
        <v>70</v>
      </c>
      <c r="I903" s="3" t="s">
        <v>71</v>
      </c>
      <c r="J903" s="3" t="s">
        <v>976</v>
      </c>
      <c r="K903" s="3" t="s">
        <v>363</v>
      </c>
      <c r="L903" s="4">
        <v>0.36458333333333331</v>
      </c>
      <c r="M903" s="3" t="s">
        <v>977</v>
      </c>
      <c r="N903" s="3" t="s">
        <v>24</v>
      </c>
      <c r="O903" s="3" t="s">
        <v>25</v>
      </c>
    </row>
    <row r="904" spans="1:15">
      <c r="A904" s="3" t="s">
        <v>15</v>
      </c>
      <c r="B904" s="3" t="str">
        <f>"FES1162740433"</f>
        <v>FES1162740433</v>
      </c>
      <c r="C904" s="3" t="s">
        <v>778</v>
      </c>
      <c r="D904" s="3">
        <v>1</v>
      </c>
      <c r="E904" s="3" t="str">
        <f>"2170730745"</f>
        <v>2170730745</v>
      </c>
      <c r="F904" s="3" t="s">
        <v>17</v>
      </c>
      <c r="G904" s="3" t="s">
        <v>18</v>
      </c>
      <c r="H904" s="3" t="s">
        <v>18</v>
      </c>
      <c r="I904" s="3" t="s">
        <v>29</v>
      </c>
      <c r="J904" s="3" t="s">
        <v>307</v>
      </c>
      <c r="K904" s="3" t="s">
        <v>363</v>
      </c>
      <c r="L904" s="4">
        <v>0.33055555555555555</v>
      </c>
      <c r="M904" s="3" t="s">
        <v>308</v>
      </c>
      <c r="N904" s="3" t="s">
        <v>24</v>
      </c>
      <c r="O904" s="3" t="s">
        <v>25</v>
      </c>
    </row>
    <row r="905" spans="1:15">
      <c r="A905" s="3" t="s">
        <v>15</v>
      </c>
      <c r="B905" s="3" t="str">
        <f>"FES1162740471"</f>
        <v>FES1162740471</v>
      </c>
      <c r="C905" s="3" t="s">
        <v>778</v>
      </c>
      <c r="D905" s="3">
        <v>1</v>
      </c>
      <c r="E905" s="3" t="str">
        <f>"217072890"</f>
        <v>217072890</v>
      </c>
      <c r="F905" s="3" t="s">
        <v>17</v>
      </c>
      <c r="G905" s="3" t="s">
        <v>18</v>
      </c>
      <c r="H905" s="3" t="s">
        <v>18</v>
      </c>
      <c r="I905" s="3" t="s">
        <v>309</v>
      </c>
      <c r="J905" s="3" t="s">
        <v>978</v>
      </c>
      <c r="K905" s="3" t="s">
        <v>363</v>
      </c>
      <c r="L905" s="4">
        <v>0.33333333333333331</v>
      </c>
      <c r="M905" s="3" t="s">
        <v>979</v>
      </c>
      <c r="N905" s="3" t="s">
        <v>24</v>
      </c>
      <c r="O905" s="3" t="s">
        <v>25</v>
      </c>
    </row>
    <row r="906" spans="1:15">
      <c r="A906" s="3" t="s">
        <v>15</v>
      </c>
      <c r="B906" s="3" t="str">
        <f>"FES1162740434"</f>
        <v>FES1162740434</v>
      </c>
      <c r="C906" s="3" t="s">
        <v>778</v>
      </c>
      <c r="D906" s="3">
        <v>1</v>
      </c>
      <c r="E906" s="3" t="str">
        <f>"2170730835"</f>
        <v>2170730835</v>
      </c>
      <c r="F906" s="3" t="s">
        <v>17</v>
      </c>
      <c r="G906" s="3" t="s">
        <v>18</v>
      </c>
      <c r="H906" s="3" t="s">
        <v>18</v>
      </c>
      <c r="I906" s="3" t="s">
        <v>29</v>
      </c>
      <c r="J906" s="3" t="s">
        <v>307</v>
      </c>
      <c r="K906" s="3" t="s">
        <v>363</v>
      </c>
      <c r="L906" s="4">
        <v>0.3298611111111111</v>
      </c>
      <c r="M906" s="3" t="s">
        <v>308</v>
      </c>
      <c r="N906" s="3" t="s">
        <v>24</v>
      </c>
      <c r="O906" s="3" t="s">
        <v>25</v>
      </c>
    </row>
    <row r="907" spans="1:15">
      <c r="A907" s="3" t="s">
        <v>15</v>
      </c>
      <c r="B907" s="3" t="str">
        <f>"FES1162740461"</f>
        <v>FES1162740461</v>
      </c>
      <c r="C907" s="3" t="s">
        <v>778</v>
      </c>
      <c r="D907" s="3">
        <v>1</v>
      </c>
      <c r="E907" s="3" t="str">
        <f>"217032063"</f>
        <v>217032063</v>
      </c>
      <c r="F907" s="3" t="s">
        <v>17</v>
      </c>
      <c r="G907" s="3" t="s">
        <v>18</v>
      </c>
      <c r="H907" s="3" t="s">
        <v>18</v>
      </c>
      <c r="I907" s="3" t="s">
        <v>29</v>
      </c>
      <c r="J907" s="3" t="s">
        <v>980</v>
      </c>
      <c r="K907" s="3" t="s">
        <v>363</v>
      </c>
      <c r="L907" s="4">
        <v>0.31944444444444448</v>
      </c>
      <c r="M907" s="3" t="s">
        <v>981</v>
      </c>
      <c r="N907" s="3" t="s">
        <v>24</v>
      </c>
      <c r="O907" s="3" t="s">
        <v>25</v>
      </c>
    </row>
    <row r="908" spans="1:15">
      <c r="A908" s="3" t="s">
        <v>15</v>
      </c>
      <c r="B908" s="3" t="str">
        <f>"FES1162740522"</f>
        <v>FES1162740522</v>
      </c>
      <c r="C908" s="3" t="s">
        <v>778</v>
      </c>
      <c r="D908" s="3">
        <v>1</v>
      </c>
      <c r="E908" s="3" t="str">
        <f>"2170732173"</f>
        <v>2170732173</v>
      </c>
      <c r="F908" s="3" t="s">
        <v>17</v>
      </c>
      <c r="G908" s="3" t="s">
        <v>18</v>
      </c>
      <c r="H908" s="3" t="s">
        <v>19</v>
      </c>
      <c r="I908" s="3" t="s">
        <v>51</v>
      </c>
      <c r="J908" s="3" t="s">
        <v>429</v>
      </c>
      <c r="K908" s="3" t="s">
        <v>363</v>
      </c>
      <c r="L908" s="4">
        <v>0.4145833333333333</v>
      </c>
      <c r="M908" s="3" t="s">
        <v>982</v>
      </c>
      <c r="N908" s="3" t="s">
        <v>24</v>
      </c>
      <c r="O908" s="3" t="s">
        <v>25</v>
      </c>
    </row>
    <row r="909" spans="1:15">
      <c r="A909" s="3" t="s">
        <v>15</v>
      </c>
      <c r="B909" s="3" t="str">
        <f>"FES1162740518"</f>
        <v>FES1162740518</v>
      </c>
      <c r="C909" s="3" t="s">
        <v>778</v>
      </c>
      <c r="D909" s="3">
        <v>1</v>
      </c>
      <c r="E909" s="3" t="str">
        <f>"2170732133"</f>
        <v>2170732133</v>
      </c>
      <c r="F909" s="3" t="s">
        <v>17</v>
      </c>
      <c r="G909" s="3" t="s">
        <v>18</v>
      </c>
      <c r="H909" s="3" t="s">
        <v>18</v>
      </c>
      <c r="I909" s="3" t="s">
        <v>29</v>
      </c>
      <c r="J909" s="3" t="s">
        <v>307</v>
      </c>
      <c r="K909" s="3" t="s">
        <v>363</v>
      </c>
      <c r="L909" s="4">
        <v>0.33055555555555555</v>
      </c>
      <c r="M909" s="3" t="s">
        <v>308</v>
      </c>
      <c r="N909" s="3" t="s">
        <v>24</v>
      </c>
      <c r="O909" s="3" t="s">
        <v>25</v>
      </c>
    </row>
    <row r="910" spans="1:15">
      <c r="A910" s="3" t="s">
        <v>15</v>
      </c>
      <c r="B910" s="3" t="str">
        <f>"009935712240"</f>
        <v>009935712240</v>
      </c>
      <c r="C910" s="3" t="s">
        <v>778</v>
      </c>
      <c r="D910" s="3">
        <v>1</v>
      </c>
      <c r="E910" s="3" t="str">
        <f>"1162740241"</f>
        <v>1162740241</v>
      </c>
      <c r="F910" s="3" t="s">
        <v>627</v>
      </c>
      <c r="G910" s="3" t="s">
        <v>18</v>
      </c>
      <c r="H910" s="3" t="s">
        <v>100</v>
      </c>
      <c r="I910" s="3" t="s">
        <v>101</v>
      </c>
      <c r="J910" s="3" t="s">
        <v>983</v>
      </c>
      <c r="K910" s="3" t="s">
        <v>778</v>
      </c>
      <c r="L910" s="4">
        <v>0.875</v>
      </c>
      <c r="M910" s="3" t="s">
        <v>984</v>
      </c>
      <c r="N910" s="3" t="s">
        <v>24</v>
      </c>
      <c r="O910" s="3" t="s">
        <v>629</v>
      </c>
    </row>
    <row r="911" spans="1:15">
      <c r="A911" s="3" t="s">
        <v>15</v>
      </c>
      <c r="B911" s="3" t="str">
        <f>"FES1162740440"</f>
        <v>FES1162740440</v>
      </c>
      <c r="C911" s="3" t="s">
        <v>778</v>
      </c>
      <c r="D911" s="3">
        <v>1</v>
      </c>
      <c r="E911" s="3" t="str">
        <f>"2170731750"</f>
        <v>2170731750</v>
      </c>
      <c r="F911" s="3" t="s">
        <v>17</v>
      </c>
      <c r="G911" s="3" t="s">
        <v>18</v>
      </c>
      <c r="H911" s="3" t="s">
        <v>18</v>
      </c>
      <c r="I911" s="3" t="s">
        <v>222</v>
      </c>
      <c r="J911" s="3" t="s">
        <v>716</v>
      </c>
      <c r="K911" s="3" t="s">
        <v>363</v>
      </c>
      <c r="L911" s="4">
        <v>0.43402777777777773</v>
      </c>
      <c r="M911" s="3" t="s">
        <v>723</v>
      </c>
      <c r="N911" s="3" t="s">
        <v>24</v>
      </c>
      <c r="O911" s="3" t="s">
        <v>25</v>
      </c>
    </row>
    <row r="912" spans="1:15">
      <c r="A912" s="3" t="s">
        <v>15</v>
      </c>
      <c r="B912" s="3" t="str">
        <f>"FES1162740446"</f>
        <v>FES1162740446</v>
      </c>
      <c r="C912" s="3" t="s">
        <v>778</v>
      </c>
      <c r="D912" s="3">
        <v>1</v>
      </c>
      <c r="E912" s="3" t="str">
        <f>"2170732046"</f>
        <v>2170732046</v>
      </c>
      <c r="F912" s="3" t="s">
        <v>17</v>
      </c>
      <c r="G912" s="3" t="s">
        <v>18</v>
      </c>
      <c r="H912" s="3" t="s">
        <v>36</v>
      </c>
      <c r="I912" s="3" t="s">
        <v>37</v>
      </c>
      <c r="J912" s="3" t="s">
        <v>985</v>
      </c>
      <c r="K912" s="3" t="s">
        <v>363</v>
      </c>
      <c r="L912" s="4">
        <v>0.47291666666666665</v>
      </c>
      <c r="M912" s="3" t="s">
        <v>986</v>
      </c>
      <c r="N912" s="3" t="s">
        <v>24</v>
      </c>
      <c r="O912" s="3" t="s">
        <v>25</v>
      </c>
    </row>
    <row r="913" spans="1:15">
      <c r="A913" s="3" t="s">
        <v>15</v>
      </c>
      <c r="B913" s="3" t="str">
        <f>"FES1162740445"</f>
        <v>FES1162740445</v>
      </c>
      <c r="C913" s="3" t="s">
        <v>778</v>
      </c>
      <c r="D913" s="3">
        <v>1</v>
      </c>
      <c r="E913" s="3" t="str">
        <f>"2170732045"</f>
        <v>2170732045</v>
      </c>
      <c r="F913" s="3" t="s">
        <v>17</v>
      </c>
      <c r="G913" s="3" t="s">
        <v>18</v>
      </c>
      <c r="H913" s="3" t="s">
        <v>36</v>
      </c>
      <c r="I913" s="3" t="s">
        <v>174</v>
      </c>
      <c r="J913" s="3" t="s">
        <v>451</v>
      </c>
      <c r="K913" s="3" t="s">
        <v>363</v>
      </c>
      <c r="L913" s="4">
        <v>0.34027777777777773</v>
      </c>
      <c r="M913" s="3" t="s">
        <v>452</v>
      </c>
      <c r="N913" s="3" t="s">
        <v>24</v>
      </c>
      <c r="O913" s="3" t="s">
        <v>25</v>
      </c>
    </row>
    <row r="914" spans="1:15">
      <c r="A914" s="3" t="s">
        <v>15</v>
      </c>
      <c r="B914" s="3" t="str">
        <f>"FES1162740283"</f>
        <v>FES1162740283</v>
      </c>
      <c r="C914" s="3" t="s">
        <v>778</v>
      </c>
      <c r="D914" s="3">
        <v>1</v>
      </c>
      <c r="E914" s="3" t="str">
        <f>"2170731877"</f>
        <v>2170731877</v>
      </c>
      <c r="F914" s="3" t="s">
        <v>17</v>
      </c>
      <c r="G914" s="3" t="s">
        <v>18</v>
      </c>
      <c r="H914" s="3" t="s">
        <v>100</v>
      </c>
      <c r="I914" s="3" t="s">
        <v>987</v>
      </c>
      <c r="J914" s="3" t="s">
        <v>988</v>
      </c>
      <c r="K914" s="3" t="s">
        <v>662</v>
      </c>
      <c r="L914" s="4">
        <v>0.35902777777777778</v>
      </c>
      <c r="M914" s="3" t="s">
        <v>989</v>
      </c>
      <c r="N914" s="3" t="s">
        <v>24</v>
      </c>
      <c r="O914" s="3" t="s">
        <v>25</v>
      </c>
    </row>
    <row r="915" spans="1:15">
      <c r="A915" s="3" t="s">
        <v>15</v>
      </c>
      <c r="B915" s="3" t="str">
        <f>"FES1162740438"</f>
        <v>FES1162740438</v>
      </c>
      <c r="C915" s="3" t="s">
        <v>778</v>
      </c>
      <c r="D915" s="3">
        <v>1</v>
      </c>
      <c r="E915" s="3" t="str">
        <f>"2170732040"</f>
        <v>2170732040</v>
      </c>
      <c r="F915" s="3" t="s">
        <v>17</v>
      </c>
      <c r="G915" s="3" t="s">
        <v>18</v>
      </c>
      <c r="H915" s="3" t="s">
        <v>100</v>
      </c>
      <c r="I915" s="3" t="s">
        <v>101</v>
      </c>
      <c r="J915" s="3" t="s">
        <v>990</v>
      </c>
      <c r="K915" s="3" t="s">
        <v>363</v>
      </c>
      <c r="L915" s="4">
        <v>0.38055555555555554</v>
      </c>
      <c r="M915" s="3" t="s">
        <v>991</v>
      </c>
      <c r="N915" s="3" t="s">
        <v>24</v>
      </c>
      <c r="O915" s="3" t="s">
        <v>25</v>
      </c>
    </row>
    <row r="916" spans="1:15">
      <c r="A916" s="3" t="s">
        <v>15</v>
      </c>
      <c r="B916" s="3" t="str">
        <f>"FES1162740457"</f>
        <v>FES1162740457</v>
      </c>
      <c r="C916" s="3" t="s">
        <v>778</v>
      </c>
      <c r="D916" s="3">
        <v>1</v>
      </c>
      <c r="E916" s="3" t="str">
        <f>"2170732055"</f>
        <v>2170732055</v>
      </c>
      <c r="F916" s="3" t="s">
        <v>17</v>
      </c>
      <c r="G916" s="3" t="s">
        <v>18</v>
      </c>
      <c r="H916" s="3" t="s">
        <v>36</v>
      </c>
      <c r="I916" s="3" t="s">
        <v>37</v>
      </c>
      <c r="J916" s="3" t="s">
        <v>585</v>
      </c>
      <c r="K916" s="3" t="s">
        <v>363</v>
      </c>
      <c r="L916" s="4">
        <v>0.42499999999999999</v>
      </c>
      <c r="M916" s="3" t="s">
        <v>862</v>
      </c>
      <c r="N916" s="3" t="s">
        <v>24</v>
      </c>
      <c r="O916" s="3" t="s">
        <v>25</v>
      </c>
    </row>
    <row r="917" spans="1:15">
      <c r="A917" s="3" t="s">
        <v>15</v>
      </c>
      <c r="B917" s="3" t="str">
        <f>"FES1162740377"</f>
        <v>FES1162740377</v>
      </c>
      <c r="C917" s="3" t="s">
        <v>778</v>
      </c>
      <c r="D917" s="3">
        <v>1</v>
      </c>
      <c r="E917" s="3" t="str">
        <f>"2170729159"</f>
        <v>2170729159</v>
      </c>
      <c r="F917" s="3" t="s">
        <v>17</v>
      </c>
      <c r="G917" s="3" t="s">
        <v>18</v>
      </c>
      <c r="H917" s="3" t="s">
        <v>100</v>
      </c>
      <c r="I917" s="3" t="s">
        <v>144</v>
      </c>
      <c r="J917" s="3" t="s">
        <v>992</v>
      </c>
      <c r="K917" s="3" t="s">
        <v>363</v>
      </c>
      <c r="L917" s="4">
        <v>0.41944444444444445</v>
      </c>
      <c r="M917" s="3" t="s">
        <v>993</v>
      </c>
      <c r="N917" s="3" t="s">
        <v>24</v>
      </c>
      <c r="O917" s="3" t="s">
        <v>25</v>
      </c>
    </row>
    <row r="918" spans="1:15">
      <c r="A918" s="3" t="s">
        <v>15</v>
      </c>
      <c r="B918" s="3" t="str">
        <f>"FES1162740478"</f>
        <v>FES1162740478</v>
      </c>
      <c r="C918" s="3" t="s">
        <v>778</v>
      </c>
      <c r="D918" s="3">
        <v>1</v>
      </c>
      <c r="E918" s="3" t="str">
        <f>"2170732077"</f>
        <v>2170732077</v>
      </c>
      <c r="F918" s="3" t="s">
        <v>17</v>
      </c>
      <c r="G918" s="3" t="s">
        <v>18</v>
      </c>
      <c r="H918" s="3" t="s">
        <v>70</v>
      </c>
      <c r="I918" s="3" t="s">
        <v>71</v>
      </c>
      <c r="J918" s="3" t="s">
        <v>392</v>
      </c>
      <c r="K918" s="3" t="s">
        <v>363</v>
      </c>
      <c r="L918" s="4">
        <v>0.50347222222222221</v>
      </c>
      <c r="M918" s="3" t="s">
        <v>994</v>
      </c>
      <c r="N918" s="3" t="s">
        <v>24</v>
      </c>
      <c r="O918" s="3" t="s">
        <v>25</v>
      </c>
    </row>
    <row r="919" spans="1:15">
      <c r="A919" s="3" t="s">
        <v>15</v>
      </c>
      <c r="B919" s="3" t="str">
        <f>"FES1162740441"</f>
        <v>FES1162740441</v>
      </c>
      <c r="C919" s="3" t="s">
        <v>778</v>
      </c>
      <c r="D919" s="3">
        <v>1</v>
      </c>
      <c r="E919" s="3" t="str">
        <f>"2170731762"</f>
        <v>2170731762</v>
      </c>
      <c r="F919" s="3" t="s">
        <v>17</v>
      </c>
      <c r="G919" s="3" t="s">
        <v>18</v>
      </c>
      <c r="H919" s="3" t="s">
        <v>100</v>
      </c>
      <c r="I919" s="3" t="s">
        <v>122</v>
      </c>
      <c r="J919" s="3" t="s">
        <v>123</v>
      </c>
      <c r="K919" s="3" t="s">
        <v>363</v>
      </c>
      <c r="L919" s="4">
        <v>0.49027777777777781</v>
      </c>
      <c r="M919" s="3" t="s">
        <v>995</v>
      </c>
      <c r="N919" s="3" t="s">
        <v>24</v>
      </c>
      <c r="O919" s="3" t="s">
        <v>25</v>
      </c>
    </row>
    <row r="920" spans="1:15">
      <c r="A920" s="3" t="s">
        <v>15</v>
      </c>
      <c r="B920" s="3" t="str">
        <f>"FES1162740428"</f>
        <v>FES1162740428</v>
      </c>
      <c r="C920" s="3" t="s">
        <v>778</v>
      </c>
      <c r="D920" s="3">
        <v>1</v>
      </c>
      <c r="E920" s="3" t="str">
        <f>"2170732036"</f>
        <v>2170732036</v>
      </c>
      <c r="F920" s="3" t="s">
        <v>17</v>
      </c>
      <c r="G920" s="3" t="s">
        <v>18</v>
      </c>
      <c r="H920" s="3" t="s">
        <v>100</v>
      </c>
      <c r="I920" s="3" t="s">
        <v>101</v>
      </c>
      <c r="J920" s="3" t="s">
        <v>874</v>
      </c>
      <c r="K920" s="3" t="s">
        <v>363</v>
      </c>
      <c r="L920" s="4">
        <v>0.4375</v>
      </c>
      <c r="M920" s="3" t="s">
        <v>996</v>
      </c>
      <c r="N920" s="3" t="s">
        <v>24</v>
      </c>
      <c r="O920" s="3" t="s">
        <v>25</v>
      </c>
    </row>
    <row r="921" spans="1:15">
      <c r="A921" s="3" t="s">
        <v>15</v>
      </c>
      <c r="B921" s="3" t="str">
        <f>"FES1162740448"</f>
        <v>FES1162740448</v>
      </c>
      <c r="C921" s="3" t="s">
        <v>778</v>
      </c>
      <c r="D921" s="3">
        <v>1</v>
      </c>
      <c r="E921" s="3" t="str">
        <f>"2170732049"</f>
        <v>2170732049</v>
      </c>
      <c r="F921" s="3" t="s">
        <v>17</v>
      </c>
      <c r="G921" s="3" t="s">
        <v>18</v>
      </c>
      <c r="H921" s="3" t="s">
        <v>18</v>
      </c>
      <c r="I921" s="3" t="s">
        <v>171</v>
      </c>
      <c r="J921" s="3" t="s">
        <v>369</v>
      </c>
      <c r="K921" s="3" t="s">
        <v>363</v>
      </c>
      <c r="L921" s="4">
        <v>0.35347222222222219</v>
      </c>
      <c r="M921" s="3" t="s">
        <v>370</v>
      </c>
      <c r="N921" s="3" t="s">
        <v>24</v>
      </c>
      <c r="O921" s="3" t="s">
        <v>25</v>
      </c>
    </row>
    <row r="922" spans="1:15">
      <c r="A922" s="3" t="s">
        <v>15</v>
      </c>
      <c r="B922" s="3" t="str">
        <f>"FES1162740437"</f>
        <v>FES1162740437</v>
      </c>
      <c r="C922" s="3" t="s">
        <v>778</v>
      </c>
      <c r="D922" s="3">
        <v>1</v>
      </c>
      <c r="E922" s="3" t="str">
        <f>"2170732044"</f>
        <v>2170732044</v>
      </c>
      <c r="F922" s="3" t="s">
        <v>17</v>
      </c>
      <c r="G922" s="3" t="s">
        <v>18</v>
      </c>
      <c r="H922" s="3" t="s">
        <v>100</v>
      </c>
      <c r="I922" s="3" t="s">
        <v>262</v>
      </c>
      <c r="J922" s="3" t="s">
        <v>409</v>
      </c>
      <c r="K922" s="3" t="s">
        <v>662</v>
      </c>
      <c r="L922" s="4">
        <v>0.38125000000000003</v>
      </c>
      <c r="M922" s="3" t="s">
        <v>997</v>
      </c>
      <c r="N922" s="3" t="s">
        <v>24</v>
      </c>
      <c r="O922" s="3" t="s">
        <v>25</v>
      </c>
    </row>
    <row r="923" spans="1:15">
      <c r="A923" s="3" t="s">
        <v>15</v>
      </c>
      <c r="B923" s="3" t="str">
        <f>"FES1162740444"</f>
        <v>FES1162740444</v>
      </c>
      <c r="C923" s="3" t="s">
        <v>778</v>
      </c>
      <c r="D923" s="3">
        <v>1</v>
      </c>
      <c r="E923" s="3" t="str">
        <f>"2170731960"</f>
        <v>2170731960</v>
      </c>
      <c r="F923" s="3" t="s">
        <v>17</v>
      </c>
      <c r="G923" s="3" t="s">
        <v>18</v>
      </c>
      <c r="H923" s="3" t="s">
        <v>66</v>
      </c>
      <c r="I923" s="3" t="s">
        <v>67</v>
      </c>
      <c r="J923" s="3" t="s">
        <v>998</v>
      </c>
      <c r="K923" s="3" t="s">
        <v>363</v>
      </c>
      <c r="L923" s="4">
        <v>0.33680555555555558</v>
      </c>
      <c r="M923" s="3" t="s">
        <v>999</v>
      </c>
      <c r="N923" s="3" t="s">
        <v>24</v>
      </c>
      <c r="O923" s="3" t="s">
        <v>25</v>
      </c>
    </row>
    <row r="924" spans="1:15">
      <c r="A924" s="3" t="s">
        <v>15</v>
      </c>
      <c r="B924" s="3" t="str">
        <f>"FES1162740486"</f>
        <v>FES1162740486</v>
      </c>
      <c r="C924" s="3" t="s">
        <v>778</v>
      </c>
      <c r="D924" s="3">
        <v>1</v>
      </c>
      <c r="E924" s="3" t="str">
        <f>"2170732087"</f>
        <v>2170732087</v>
      </c>
      <c r="F924" s="3" t="s">
        <v>17</v>
      </c>
      <c r="G924" s="3" t="s">
        <v>18</v>
      </c>
      <c r="H924" s="3" t="s">
        <v>100</v>
      </c>
      <c r="I924" s="3" t="s">
        <v>101</v>
      </c>
      <c r="J924" s="3" t="s">
        <v>131</v>
      </c>
      <c r="K924" s="3" t="s">
        <v>363</v>
      </c>
      <c r="L924" s="4">
        <v>0.33055555555555555</v>
      </c>
      <c r="M924" s="3" t="s">
        <v>132</v>
      </c>
      <c r="N924" s="3" t="s">
        <v>24</v>
      </c>
      <c r="O924" s="3" t="s">
        <v>25</v>
      </c>
    </row>
    <row r="925" spans="1:15">
      <c r="A925" s="3" t="s">
        <v>15</v>
      </c>
      <c r="B925" s="3" t="str">
        <f>"FES1162740473"</f>
        <v>FES1162740473</v>
      </c>
      <c r="C925" s="3" t="s">
        <v>778</v>
      </c>
      <c r="D925" s="3">
        <v>1</v>
      </c>
      <c r="E925" s="3" t="str">
        <f>"2170732069"</f>
        <v>2170732069</v>
      </c>
      <c r="F925" s="3" t="s">
        <v>17</v>
      </c>
      <c r="G925" s="3" t="s">
        <v>18</v>
      </c>
      <c r="H925" s="3" t="s">
        <v>19</v>
      </c>
      <c r="I925" s="3" t="s">
        <v>51</v>
      </c>
      <c r="J925" s="3" t="s">
        <v>1000</v>
      </c>
      <c r="K925" s="3" t="s">
        <v>363</v>
      </c>
      <c r="L925" s="4">
        <v>0.3298611111111111</v>
      </c>
      <c r="M925" s="3" t="s">
        <v>1001</v>
      </c>
      <c r="N925" s="3" t="s">
        <v>24</v>
      </c>
      <c r="O925" s="3" t="s">
        <v>25</v>
      </c>
    </row>
    <row r="926" spans="1:15">
      <c r="A926" s="3" t="s">
        <v>15</v>
      </c>
      <c r="B926" s="3" t="str">
        <f>"FES1162740499"</f>
        <v>FES1162740499</v>
      </c>
      <c r="C926" s="3" t="s">
        <v>778</v>
      </c>
      <c r="D926" s="3">
        <v>1</v>
      </c>
      <c r="E926" s="3" t="str">
        <f>"2170732108"</f>
        <v>2170732108</v>
      </c>
      <c r="F926" s="3" t="s">
        <v>17</v>
      </c>
      <c r="G926" s="3" t="s">
        <v>18</v>
      </c>
      <c r="H926" s="3" t="s">
        <v>19</v>
      </c>
      <c r="I926" s="3" t="s">
        <v>51</v>
      </c>
      <c r="J926" s="3" t="s">
        <v>1002</v>
      </c>
      <c r="K926" s="3" t="s">
        <v>363</v>
      </c>
      <c r="L926" s="4">
        <v>0.41111111111111115</v>
      </c>
      <c r="M926" s="3" t="s">
        <v>1003</v>
      </c>
      <c r="N926" s="3" t="s">
        <v>24</v>
      </c>
      <c r="O926" s="3" t="s">
        <v>25</v>
      </c>
    </row>
    <row r="927" spans="1:15">
      <c r="A927" s="3" t="s">
        <v>15</v>
      </c>
      <c r="B927" s="3" t="str">
        <f>"FES1162740462"</f>
        <v>FES1162740462</v>
      </c>
      <c r="C927" s="3" t="s">
        <v>778</v>
      </c>
      <c r="D927" s="3">
        <v>1</v>
      </c>
      <c r="E927" s="3" t="str">
        <f>"2170732064"</f>
        <v>2170732064</v>
      </c>
      <c r="F927" s="3" t="s">
        <v>17</v>
      </c>
      <c r="G927" s="3" t="s">
        <v>18</v>
      </c>
      <c r="H927" s="3" t="s">
        <v>18</v>
      </c>
      <c r="I927" s="3" t="s">
        <v>222</v>
      </c>
      <c r="J927" s="3" t="s">
        <v>1004</v>
      </c>
      <c r="K927" s="3" t="s">
        <v>363</v>
      </c>
      <c r="L927" s="4">
        <v>0.375</v>
      </c>
      <c r="M927" s="3" t="s">
        <v>1005</v>
      </c>
      <c r="N927" s="3" t="s">
        <v>24</v>
      </c>
      <c r="O927" s="3" t="s">
        <v>25</v>
      </c>
    </row>
    <row r="928" spans="1:15">
      <c r="A928" s="3" t="s">
        <v>15</v>
      </c>
      <c r="B928" s="3" t="str">
        <f>"FES1162740447"</f>
        <v>FES1162740447</v>
      </c>
      <c r="C928" s="3" t="s">
        <v>778</v>
      </c>
      <c r="D928" s="3">
        <v>1</v>
      </c>
      <c r="E928" s="3" t="str">
        <f>"2170732048"</f>
        <v>2170732048</v>
      </c>
      <c r="F928" s="3" t="s">
        <v>17</v>
      </c>
      <c r="G928" s="3" t="s">
        <v>18</v>
      </c>
      <c r="H928" s="3" t="s">
        <v>18</v>
      </c>
      <c r="I928" s="3" t="s">
        <v>171</v>
      </c>
      <c r="J928" s="3" t="s">
        <v>369</v>
      </c>
      <c r="K928" s="3" t="s">
        <v>363</v>
      </c>
      <c r="L928" s="4">
        <v>0.35347222222222219</v>
      </c>
      <c r="M928" s="3" t="s">
        <v>370</v>
      </c>
      <c r="N928" s="3" t="s">
        <v>24</v>
      </c>
      <c r="O928" s="3" t="s">
        <v>25</v>
      </c>
    </row>
    <row r="929" spans="1:15">
      <c r="A929" s="3" t="s">
        <v>15</v>
      </c>
      <c r="B929" s="3" t="str">
        <f>"FES1162740425"</f>
        <v>FES1162740425</v>
      </c>
      <c r="C929" s="3" t="s">
        <v>778</v>
      </c>
      <c r="D929" s="3">
        <v>1</v>
      </c>
      <c r="E929" s="3" t="str">
        <f>"217073032"</f>
        <v>217073032</v>
      </c>
      <c r="F929" s="3" t="s">
        <v>17</v>
      </c>
      <c r="G929" s="3" t="s">
        <v>18</v>
      </c>
      <c r="H929" s="3" t="s">
        <v>36</v>
      </c>
      <c r="I929" s="3" t="s">
        <v>37</v>
      </c>
      <c r="J929" s="3" t="s">
        <v>585</v>
      </c>
      <c r="K929" s="3" t="s">
        <v>363</v>
      </c>
      <c r="L929" s="4">
        <v>0.42499999999999999</v>
      </c>
      <c r="M929" s="3" t="s">
        <v>862</v>
      </c>
      <c r="N929" s="3" t="s">
        <v>24</v>
      </c>
      <c r="O929" s="3" t="s">
        <v>25</v>
      </c>
    </row>
    <row r="930" spans="1:15">
      <c r="A930" s="3" t="s">
        <v>15</v>
      </c>
      <c r="B930" s="3" t="str">
        <f>"FES1162740388"</f>
        <v>FES1162740388</v>
      </c>
      <c r="C930" s="3" t="s">
        <v>778</v>
      </c>
      <c r="D930" s="3">
        <v>1</v>
      </c>
      <c r="E930" s="3" t="str">
        <f>"2170731868"</f>
        <v>2170731868</v>
      </c>
      <c r="F930" s="3" t="s">
        <v>17</v>
      </c>
      <c r="G930" s="3" t="s">
        <v>18</v>
      </c>
      <c r="H930" s="3" t="s">
        <v>100</v>
      </c>
      <c r="I930" s="3" t="s">
        <v>155</v>
      </c>
      <c r="J930" s="3" t="s">
        <v>489</v>
      </c>
      <c r="K930" s="3" t="s">
        <v>363</v>
      </c>
      <c r="L930" s="4">
        <v>0.52013888888888882</v>
      </c>
      <c r="M930" s="3" t="s">
        <v>490</v>
      </c>
      <c r="N930" s="3" t="s">
        <v>24</v>
      </c>
      <c r="O930" s="3" t="s">
        <v>25</v>
      </c>
    </row>
    <row r="931" spans="1:15">
      <c r="A931" s="3" t="s">
        <v>15</v>
      </c>
      <c r="B931" s="3" t="str">
        <f>"FES1162740417"</f>
        <v>FES1162740417</v>
      </c>
      <c r="C931" s="3" t="s">
        <v>778</v>
      </c>
      <c r="D931" s="3">
        <v>1</v>
      </c>
      <c r="E931" s="3" t="str">
        <f>"217073163"</f>
        <v>217073163</v>
      </c>
      <c r="F931" s="3" t="s">
        <v>17</v>
      </c>
      <c r="G931" s="3" t="s">
        <v>18</v>
      </c>
      <c r="H931" s="3" t="s">
        <v>36</v>
      </c>
      <c r="I931" s="3" t="s">
        <v>37</v>
      </c>
      <c r="J931" s="3" t="s">
        <v>187</v>
      </c>
      <c r="K931" s="3" t="s">
        <v>363</v>
      </c>
      <c r="L931" s="4">
        <v>0.35416666666666669</v>
      </c>
      <c r="M931" s="3" t="s">
        <v>188</v>
      </c>
      <c r="N931" s="3" t="s">
        <v>24</v>
      </c>
      <c r="O931" s="3" t="s">
        <v>25</v>
      </c>
    </row>
    <row r="932" spans="1:15">
      <c r="A932" s="3" t="s">
        <v>15</v>
      </c>
      <c r="B932" s="3" t="str">
        <f>"FES1162740418"</f>
        <v>FES1162740418</v>
      </c>
      <c r="C932" s="3" t="s">
        <v>778</v>
      </c>
      <c r="D932" s="3">
        <v>1</v>
      </c>
      <c r="E932" s="3" t="str">
        <f>"217072026"</f>
        <v>217072026</v>
      </c>
      <c r="F932" s="3" t="s">
        <v>17</v>
      </c>
      <c r="G932" s="3" t="s">
        <v>18</v>
      </c>
      <c r="H932" s="3" t="s">
        <v>100</v>
      </c>
      <c r="I932" s="3" t="s">
        <v>117</v>
      </c>
      <c r="J932" s="3" t="s">
        <v>335</v>
      </c>
      <c r="K932" s="3" t="s">
        <v>363</v>
      </c>
      <c r="L932" s="4">
        <v>0.49513888888888885</v>
      </c>
      <c r="M932" s="3" t="s">
        <v>626</v>
      </c>
      <c r="N932" s="3" t="s">
        <v>24</v>
      </c>
      <c r="O932" s="3" t="s">
        <v>25</v>
      </c>
    </row>
    <row r="933" spans="1:15">
      <c r="A933" s="3" t="s">
        <v>15</v>
      </c>
      <c r="B933" s="3" t="str">
        <f>"FES1162740454"</f>
        <v>FES1162740454</v>
      </c>
      <c r="C933" s="3" t="s">
        <v>778</v>
      </c>
      <c r="D933" s="3">
        <v>1</v>
      </c>
      <c r="E933" s="3" t="str">
        <f>"217073058"</f>
        <v>217073058</v>
      </c>
      <c r="F933" s="3" t="s">
        <v>17</v>
      </c>
      <c r="G933" s="3" t="s">
        <v>18</v>
      </c>
      <c r="H933" s="3" t="s">
        <v>100</v>
      </c>
      <c r="I933" s="3" t="s">
        <v>262</v>
      </c>
      <c r="J933" s="3" t="s">
        <v>263</v>
      </c>
      <c r="K933" s="3" t="s">
        <v>662</v>
      </c>
      <c r="L933" s="4">
        <v>0.65486111111111112</v>
      </c>
      <c r="M933" s="3" t="s">
        <v>838</v>
      </c>
      <c r="N933" s="3" t="s">
        <v>24</v>
      </c>
      <c r="O933" s="3" t="s">
        <v>25</v>
      </c>
    </row>
    <row r="934" spans="1:15">
      <c r="A934" s="3" t="s">
        <v>15</v>
      </c>
      <c r="B934" s="3" t="str">
        <f>"FES1162740341"</f>
        <v>FES1162740341</v>
      </c>
      <c r="C934" s="3" t="s">
        <v>778</v>
      </c>
      <c r="D934" s="3">
        <v>1</v>
      </c>
      <c r="E934" s="3" t="str">
        <f>"2170731770"</f>
        <v>2170731770</v>
      </c>
      <c r="F934" s="3" t="s">
        <v>17</v>
      </c>
      <c r="G934" s="3" t="s">
        <v>18</v>
      </c>
      <c r="H934" s="3" t="s">
        <v>100</v>
      </c>
      <c r="I934" s="3" t="s">
        <v>101</v>
      </c>
      <c r="J934" s="3" t="s">
        <v>1006</v>
      </c>
      <c r="K934" s="3" t="s">
        <v>363</v>
      </c>
      <c r="L934" s="4">
        <v>0.3972222222222222</v>
      </c>
      <c r="M934" s="3" t="s">
        <v>516</v>
      </c>
      <c r="N934" s="3" t="s">
        <v>24</v>
      </c>
      <c r="O934" s="3" t="s">
        <v>25</v>
      </c>
    </row>
    <row r="935" spans="1:15">
      <c r="A935" s="3" t="s">
        <v>15</v>
      </c>
      <c r="B935" s="3" t="str">
        <f>"FES1162740466"</f>
        <v>FES1162740466</v>
      </c>
      <c r="C935" s="3" t="s">
        <v>778</v>
      </c>
      <c r="D935" s="3">
        <v>1</v>
      </c>
      <c r="E935" s="3" t="str">
        <f>"217072068"</f>
        <v>217072068</v>
      </c>
      <c r="F935" s="3" t="s">
        <v>17</v>
      </c>
      <c r="G935" s="3" t="s">
        <v>18</v>
      </c>
      <c r="H935" s="3" t="s">
        <v>100</v>
      </c>
      <c r="I935" s="3" t="s">
        <v>117</v>
      </c>
      <c r="J935" s="3" t="s">
        <v>1007</v>
      </c>
      <c r="K935" s="3" t="s">
        <v>363</v>
      </c>
      <c r="L935" s="4">
        <v>0.35069444444444442</v>
      </c>
      <c r="M935" s="3" t="s">
        <v>1008</v>
      </c>
      <c r="N935" s="3" t="s">
        <v>24</v>
      </c>
      <c r="O935" s="3" t="s">
        <v>25</v>
      </c>
    </row>
    <row r="936" spans="1:15">
      <c r="A936" s="3" t="s">
        <v>15</v>
      </c>
      <c r="B936" s="3" t="str">
        <f>"FES1162740302"</f>
        <v>FES1162740302</v>
      </c>
      <c r="C936" s="3" t="s">
        <v>778</v>
      </c>
      <c r="D936" s="3">
        <v>1</v>
      </c>
      <c r="E936" s="3" t="str">
        <f>"2170731594"</f>
        <v>2170731594</v>
      </c>
      <c r="F936" s="3" t="s">
        <v>17</v>
      </c>
      <c r="G936" s="3" t="s">
        <v>18</v>
      </c>
      <c r="H936" s="3" t="s">
        <v>100</v>
      </c>
      <c r="I936" s="3" t="s">
        <v>101</v>
      </c>
      <c r="J936" s="3" t="s">
        <v>125</v>
      </c>
      <c r="K936" s="3" t="s">
        <v>363</v>
      </c>
      <c r="L936" s="4">
        <v>0.30277777777777776</v>
      </c>
      <c r="M936" s="3" t="s">
        <v>1009</v>
      </c>
      <c r="N936" s="3" t="s">
        <v>24</v>
      </c>
      <c r="O936" s="3" t="s">
        <v>25</v>
      </c>
    </row>
    <row r="937" spans="1:15">
      <c r="A937" s="3" t="s">
        <v>15</v>
      </c>
      <c r="B937" s="3" t="str">
        <f>"FES1162740371"</f>
        <v>FES1162740371</v>
      </c>
      <c r="C937" s="3" t="s">
        <v>778</v>
      </c>
      <c r="D937" s="3">
        <v>1</v>
      </c>
      <c r="E937" s="3" t="str">
        <f>"2170731754"</f>
        <v>2170731754</v>
      </c>
      <c r="F937" s="3" t="s">
        <v>17</v>
      </c>
      <c r="G937" s="3" t="s">
        <v>18</v>
      </c>
      <c r="H937" s="3" t="s">
        <v>100</v>
      </c>
      <c r="I937" s="3" t="s">
        <v>101</v>
      </c>
      <c r="J937" s="3" t="s">
        <v>1010</v>
      </c>
      <c r="K937" s="3" t="s">
        <v>363</v>
      </c>
      <c r="L937" s="4">
        <v>0.35972222222222222</v>
      </c>
      <c r="M937" s="3" t="s">
        <v>1011</v>
      </c>
      <c r="N937" s="3" t="s">
        <v>24</v>
      </c>
      <c r="O937" s="3" t="s">
        <v>25</v>
      </c>
    </row>
    <row r="938" spans="1:15">
      <c r="A938" s="3" t="s">
        <v>15</v>
      </c>
      <c r="B938" s="3" t="str">
        <f>"FES1162740342"</f>
        <v>FES1162740342</v>
      </c>
      <c r="C938" s="3" t="s">
        <v>778</v>
      </c>
      <c r="D938" s="3">
        <v>1</v>
      </c>
      <c r="E938" s="3" t="str">
        <f>"2170731793"</f>
        <v>2170731793</v>
      </c>
      <c r="F938" s="3" t="s">
        <v>17</v>
      </c>
      <c r="G938" s="3" t="s">
        <v>18</v>
      </c>
      <c r="H938" s="3" t="s">
        <v>100</v>
      </c>
      <c r="I938" s="3" t="s">
        <v>101</v>
      </c>
      <c r="J938" s="3" t="s">
        <v>1012</v>
      </c>
      <c r="K938" s="3" t="s">
        <v>363</v>
      </c>
      <c r="L938" s="4">
        <v>0.43611111111111112</v>
      </c>
      <c r="M938" s="3" t="s">
        <v>1013</v>
      </c>
      <c r="N938" s="3" t="s">
        <v>24</v>
      </c>
      <c r="O938" s="3" t="s">
        <v>25</v>
      </c>
    </row>
    <row r="939" spans="1:15">
      <c r="A939" s="3" t="s">
        <v>15</v>
      </c>
      <c r="B939" s="3" t="str">
        <f>"FES1162740435"</f>
        <v>FES1162740435</v>
      </c>
      <c r="C939" s="3" t="s">
        <v>778</v>
      </c>
      <c r="D939" s="3">
        <v>1</v>
      </c>
      <c r="E939" s="3" t="str">
        <f>"21707317799"</f>
        <v>21707317799</v>
      </c>
      <c r="F939" s="3" t="s">
        <v>17</v>
      </c>
      <c r="G939" s="3" t="s">
        <v>18</v>
      </c>
      <c r="H939" s="3" t="s">
        <v>66</v>
      </c>
      <c r="I939" s="3" t="s">
        <v>67</v>
      </c>
      <c r="J939" s="3" t="s">
        <v>138</v>
      </c>
      <c r="K939" s="3" t="s">
        <v>363</v>
      </c>
      <c r="L939" s="4">
        <v>0.3888888888888889</v>
      </c>
      <c r="M939" s="3" t="s">
        <v>1014</v>
      </c>
      <c r="N939" s="3" t="s">
        <v>24</v>
      </c>
      <c r="O939" s="3" t="s">
        <v>25</v>
      </c>
    </row>
    <row r="940" spans="1:15">
      <c r="A940" s="3" t="s">
        <v>15</v>
      </c>
      <c r="B940" s="3" t="str">
        <f>"FES1162740443"</f>
        <v>FES1162740443</v>
      </c>
      <c r="C940" s="3" t="s">
        <v>778</v>
      </c>
      <c r="D940" s="3">
        <v>1</v>
      </c>
      <c r="E940" s="3" t="str">
        <f>"2170731940"</f>
        <v>2170731940</v>
      </c>
      <c r="F940" s="3" t="s">
        <v>17</v>
      </c>
      <c r="G940" s="3" t="s">
        <v>18</v>
      </c>
      <c r="H940" s="3" t="s">
        <v>100</v>
      </c>
      <c r="I940" s="3" t="s">
        <v>101</v>
      </c>
      <c r="J940" s="3" t="s">
        <v>265</v>
      </c>
      <c r="K940" s="3" t="s">
        <v>363</v>
      </c>
      <c r="L940" s="4">
        <v>0.30902777777777779</v>
      </c>
      <c r="M940" s="3" t="s">
        <v>128</v>
      </c>
      <c r="N940" s="3" t="s">
        <v>24</v>
      </c>
      <c r="O940" s="3" t="s">
        <v>25</v>
      </c>
    </row>
    <row r="941" spans="1:15">
      <c r="A941" s="3" t="s">
        <v>15</v>
      </c>
      <c r="B941" s="3" t="str">
        <f>"FES1162740483"</f>
        <v>FES1162740483</v>
      </c>
      <c r="C941" s="3" t="s">
        <v>778</v>
      </c>
      <c r="D941" s="3">
        <v>1</v>
      </c>
      <c r="E941" s="3" t="str">
        <f>"2170732084"</f>
        <v>2170732084</v>
      </c>
      <c r="F941" s="3" t="s">
        <v>17</v>
      </c>
      <c r="G941" s="3" t="s">
        <v>18</v>
      </c>
      <c r="H941" s="3" t="s">
        <v>100</v>
      </c>
      <c r="I941" s="3" t="s">
        <v>101</v>
      </c>
      <c r="J941" s="3" t="s">
        <v>1015</v>
      </c>
      <c r="K941" s="3" t="s">
        <v>363</v>
      </c>
      <c r="L941" s="4">
        <v>0.30763888888888891</v>
      </c>
      <c r="M941" s="3" t="s">
        <v>1016</v>
      </c>
      <c r="N941" s="3" t="s">
        <v>24</v>
      </c>
      <c r="O941" s="3" t="s">
        <v>25</v>
      </c>
    </row>
    <row r="942" spans="1:15">
      <c r="A942" s="3" t="s">
        <v>15</v>
      </c>
      <c r="B942" s="3" t="str">
        <f>"FES1162740474"</f>
        <v>FES1162740474</v>
      </c>
      <c r="C942" s="3" t="s">
        <v>778</v>
      </c>
      <c r="D942" s="3">
        <v>1</v>
      </c>
      <c r="E942" s="3" t="str">
        <f>"2170737070"</f>
        <v>2170737070</v>
      </c>
      <c r="F942" s="3" t="s">
        <v>17</v>
      </c>
      <c r="G942" s="3" t="s">
        <v>18</v>
      </c>
      <c r="H942" s="3" t="s">
        <v>100</v>
      </c>
      <c r="I942" s="3" t="s">
        <v>262</v>
      </c>
      <c r="J942" s="3" t="s">
        <v>409</v>
      </c>
      <c r="K942" s="3" t="s">
        <v>662</v>
      </c>
      <c r="L942" s="4">
        <v>0.38125000000000003</v>
      </c>
      <c r="M942" s="3" t="s">
        <v>997</v>
      </c>
      <c r="N942" s="3" t="s">
        <v>24</v>
      </c>
      <c r="O942" s="3" t="s">
        <v>25</v>
      </c>
    </row>
    <row r="943" spans="1:15">
      <c r="A943" s="3" t="s">
        <v>15</v>
      </c>
      <c r="B943" s="3" t="str">
        <f>"FES1162740465"</f>
        <v>FES1162740465</v>
      </c>
      <c r="C943" s="3" t="s">
        <v>778</v>
      </c>
      <c r="D943" s="3">
        <v>1</v>
      </c>
      <c r="E943" s="3" t="str">
        <f>"21707302067"</f>
        <v>21707302067</v>
      </c>
      <c r="F943" s="3" t="s">
        <v>17</v>
      </c>
      <c r="G943" s="3" t="s">
        <v>18</v>
      </c>
      <c r="H943" s="3" t="s">
        <v>66</v>
      </c>
      <c r="I943" s="3" t="s">
        <v>67</v>
      </c>
      <c r="J943" s="3" t="s">
        <v>166</v>
      </c>
      <c r="K943" s="3" t="s">
        <v>363</v>
      </c>
      <c r="L943" s="4">
        <v>0.3263888888888889</v>
      </c>
      <c r="M943" s="3" t="s">
        <v>154</v>
      </c>
      <c r="N943" s="3" t="s">
        <v>24</v>
      </c>
      <c r="O943" s="3" t="s">
        <v>25</v>
      </c>
    </row>
    <row r="944" spans="1:15">
      <c r="A944" s="3" t="s">
        <v>15</v>
      </c>
      <c r="B944" s="3" t="str">
        <f>"FES1162740476"</f>
        <v>FES1162740476</v>
      </c>
      <c r="C944" s="3" t="s">
        <v>778</v>
      </c>
      <c r="D944" s="3">
        <v>1</v>
      </c>
      <c r="E944" s="3" t="str">
        <f>"2170730274"</f>
        <v>2170730274</v>
      </c>
      <c r="F944" s="3" t="s">
        <v>17</v>
      </c>
      <c r="G944" s="3" t="s">
        <v>18</v>
      </c>
      <c r="H944" s="3" t="s">
        <v>66</v>
      </c>
      <c r="I944" s="3" t="s">
        <v>67</v>
      </c>
      <c r="J944" s="3" t="s">
        <v>1017</v>
      </c>
      <c r="K944" s="3" t="s">
        <v>363</v>
      </c>
      <c r="L944" s="4">
        <v>0.375</v>
      </c>
      <c r="M944" s="3" t="s">
        <v>1018</v>
      </c>
      <c r="N944" s="3" t="s">
        <v>24</v>
      </c>
      <c r="O944" s="3" t="s">
        <v>25</v>
      </c>
    </row>
    <row r="945" spans="1:15">
      <c r="A945" s="3" t="s">
        <v>15</v>
      </c>
      <c r="B945" s="3" t="str">
        <f>"FES1162740439"</f>
        <v>FES1162740439</v>
      </c>
      <c r="C945" s="3" t="s">
        <v>778</v>
      </c>
      <c r="D945" s="3">
        <v>1</v>
      </c>
      <c r="E945" s="3" t="str">
        <f>"2170731264"</f>
        <v>2170731264</v>
      </c>
      <c r="F945" s="3" t="s">
        <v>17</v>
      </c>
      <c r="G945" s="3" t="s">
        <v>18</v>
      </c>
      <c r="H945" s="3" t="s">
        <v>66</v>
      </c>
      <c r="I945" s="3" t="s">
        <v>67</v>
      </c>
      <c r="J945" s="3" t="s">
        <v>278</v>
      </c>
      <c r="K945" s="3" t="s">
        <v>363</v>
      </c>
      <c r="L945" s="4">
        <v>0.39097222222222222</v>
      </c>
      <c r="M945" s="3" t="s">
        <v>1019</v>
      </c>
      <c r="N945" s="3" t="s">
        <v>24</v>
      </c>
      <c r="O945" s="3" t="s">
        <v>25</v>
      </c>
    </row>
    <row r="946" spans="1:15">
      <c r="A946" s="3" t="s">
        <v>15</v>
      </c>
      <c r="B946" s="3" t="str">
        <f>"FES1162740500"</f>
        <v>FES1162740500</v>
      </c>
      <c r="C946" s="3" t="s">
        <v>778</v>
      </c>
      <c r="D946" s="3">
        <v>1</v>
      </c>
      <c r="E946" s="3" t="str">
        <f>"2170732107"</f>
        <v>2170732107</v>
      </c>
      <c r="F946" s="3" t="s">
        <v>17</v>
      </c>
      <c r="G946" s="3" t="s">
        <v>18</v>
      </c>
      <c r="H946" s="3" t="s">
        <v>19</v>
      </c>
      <c r="I946" s="3" t="s">
        <v>277</v>
      </c>
      <c r="J946" s="3" t="s">
        <v>549</v>
      </c>
      <c r="K946" s="3" t="s">
        <v>363</v>
      </c>
      <c r="L946" s="4">
        <v>0.43541666666666662</v>
      </c>
      <c r="M946" s="3" t="s">
        <v>1020</v>
      </c>
      <c r="N946" s="3" t="s">
        <v>24</v>
      </c>
      <c r="O946" s="3" t="s">
        <v>25</v>
      </c>
    </row>
    <row r="947" spans="1:15">
      <c r="A947" s="3" t="s">
        <v>15</v>
      </c>
      <c r="B947" s="3" t="str">
        <f>"FES1162740502"</f>
        <v>FES1162740502</v>
      </c>
      <c r="C947" s="3" t="s">
        <v>778</v>
      </c>
      <c r="D947" s="3">
        <v>1</v>
      </c>
      <c r="E947" s="3" t="str">
        <f>"2170732110"</f>
        <v>2170732110</v>
      </c>
      <c r="F947" s="3" t="s">
        <v>17</v>
      </c>
      <c r="G947" s="3" t="s">
        <v>18</v>
      </c>
      <c r="H947" s="3" t="s">
        <v>19</v>
      </c>
      <c r="I947" s="3" t="s">
        <v>890</v>
      </c>
      <c r="J947" s="3" t="s">
        <v>891</v>
      </c>
      <c r="K947" s="3" t="s">
        <v>363</v>
      </c>
      <c r="L947" s="4">
        <v>0.37361111111111112</v>
      </c>
      <c r="M947" s="3" t="s">
        <v>1021</v>
      </c>
      <c r="N947" s="3" t="s">
        <v>24</v>
      </c>
      <c r="O947" s="3" t="s">
        <v>25</v>
      </c>
    </row>
    <row r="948" spans="1:15">
      <c r="A948" s="3" t="s">
        <v>15</v>
      </c>
      <c r="B948" s="3" t="str">
        <f>"009935712241"</f>
        <v>009935712241</v>
      </c>
      <c r="C948" s="3" t="s">
        <v>778</v>
      </c>
      <c r="D948" s="3">
        <v>1</v>
      </c>
      <c r="E948" s="3" t="str">
        <f>"TONY"</f>
        <v>TONY</v>
      </c>
      <c r="F948" s="3" t="s">
        <v>17</v>
      </c>
      <c r="G948" s="3" t="s">
        <v>18</v>
      </c>
      <c r="H948" s="3" t="s">
        <v>100</v>
      </c>
      <c r="I948" s="3" t="s">
        <v>155</v>
      </c>
      <c r="J948" s="3" t="s">
        <v>1022</v>
      </c>
      <c r="K948" s="3" t="s">
        <v>363</v>
      </c>
      <c r="L948" s="4">
        <v>0.3972222222222222</v>
      </c>
      <c r="M948" s="3" t="s">
        <v>1023</v>
      </c>
      <c r="N948" s="3" t="s">
        <v>24</v>
      </c>
      <c r="O948" s="3" t="s">
        <v>25</v>
      </c>
    </row>
    <row r="949" spans="1:15">
      <c r="A949" s="3" t="s">
        <v>15</v>
      </c>
      <c r="B949" s="3" t="str">
        <f>"FES1162740508"</f>
        <v>FES1162740508</v>
      </c>
      <c r="C949" s="3" t="s">
        <v>778</v>
      </c>
      <c r="D949" s="3">
        <v>1</v>
      </c>
      <c r="E949" s="3" t="str">
        <f>"2170732120"</f>
        <v>2170732120</v>
      </c>
      <c r="F949" s="3" t="s">
        <v>17</v>
      </c>
      <c r="G949" s="3" t="s">
        <v>18</v>
      </c>
      <c r="H949" s="3" t="s">
        <v>100</v>
      </c>
      <c r="I949" s="3" t="s">
        <v>101</v>
      </c>
      <c r="J949" s="3" t="s">
        <v>137</v>
      </c>
      <c r="K949" s="3" t="s">
        <v>363</v>
      </c>
      <c r="L949" s="4">
        <v>0.3972222222222222</v>
      </c>
      <c r="M949" s="3" t="s">
        <v>371</v>
      </c>
      <c r="N949" s="3" t="s">
        <v>24</v>
      </c>
      <c r="O949" s="3" t="s">
        <v>25</v>
      </c>
    </row>
    <row r="950" spans="1:15">
      <c r="A950" s="3" t="s">
        <v>15</v>
      </c>
      <c r="B950" s="3" t="str">
        <f>"FES1162740491"</f>
        <v>FES1162740491</v>
      </c>
      <c r="C950" s="3" t="s">
        <v>778</v>
      </c>
      <c r="D950" s="3">
        <v>1</v>
      </c>
      <c r="E950" s="3" t="str">
        <f>"2170732093"</f>
        <v>2170732093</v>
      </c>
      <c r="F950" s="3" t="s">
        <v>17</v>
      </c>
      <c r="G950" s="3" t="s">
        <v>18</v>
      </c>
      <c r="H950" s="3" t="s">
        <v>100</v>
      </c>
      <c r="I950" s="3" t="s">
        <v>101</v>
      </c>
      <c r="J950" s="3" t="s">
        <v>131</v>
      </c>
      <c r="K950" s="3" t="s">
        <v>363</v>
      </c>
      <c r="L950" s="4">
        <v>0.33055555555555555</v>
      </c>
      <c r="M950" s="3" t="s">
        <v>132</v>
      </c>
      <c r="N950" s="3" t="s">
        <v>24</v>
      </c>
      <c r="O950" s="3" t="s">
        <v>25</v>
      </c>
    </row>
    <row r="951" spans="1:15">
      <c r="A951" s="3" t="s">
        <v>15</v>
      </c>
      <c r="B951" s="3" t="str">
        <f>"FES1162740513"</f>
        <v>FES1162740513</v>
      </c>
      <c r="C951" s="3" t="s">
        <v>778</v>
      </c>
      <c r="D951" s="3">
        <v>1</v>
      </c>
      <c r="E951" s="3" t="str">
        <f>"2170732125"</f>
        <v>2170732125</v>
      </c>
      <c r="F951" s="3" t="s">
        <v>17</v>
      </c>
      <c r="G951" s="3" t="s">
        <v>18</v>
      </c>
      <c r="H951" s="3" t="s">
        <v>100</v>
      </c>
      <c r="I951" s="3" t="s">
        <v>117</v>
      </c>
      <c r="J951" s="3" t="s">
        <v>335</v>
      </c>
      <c r="K951" s="3" t="s">
        <v>363</v>
      </c>
      <c r="L951" s="4">
        <v>0.49513888888888885</v>
      </c>
      <c r="M951" s="3" t="s">
        <v>626</v>
      </c>
      <c r="N951" s="3" t="s">
        <v>24</v>
      </c>
      <c r="O951" s="3" t="s">
        <v>25</v>
      </c>
    </row>
    <row r="952" spans="1:15">
      <c r="A952" s="3" t="s">
        <v>15</v>
      </c>
      <c r="B952" s="3" t="str">
        <f>"FES1162740524"</f>
        <v>FES1162740524</v>
      </c>
      <c r="C952" s="3" t="s">
        <v>778</v>
      </c>
      <c r="D952" s="3">
        <v>1</v>
      </c>
      <c r="E952" s="3" t="str">
        <f>"2170731283"</f>
        <v>2170731283</v>
      </c>
      <c r="F952" s="3" t="s">
        <v>17</v>
      </c>
      <c r="G952" s="3" t="s">
        <v>18</v>
      </c>
      <c r="H952" s="3" t="s">
        <v>46</v>
      </c>
      <c r="I952" s="3" t="s">
        <v>47</v>
      </c>
      <c r="J952" s="3" t="s">
        <v>62</v>
      </c>
      <c r="K952" s="3" t="s">
        <v>363</v>
      </c>
      <c r="L952" s="4">
        <v>0.43402777777777773</v>
      </c>
      <c r="M952" s="3" t="s">
        <v>1024</v>
      </c>
      <c r="N952" s="3" t="s">
        <v>24</v>
      </c>
      <c r="O952" s="3" t="s">
        <v>25</v>
      </c>
    </row>
    <row r="953" spans="1:15">
      <c r="A953" s="3" t="s">
        <v>15</v>
      </c>
      <c r="B953" s="3" t="str">
        <f>"FES1162740488"</f>
        <v>FES1162740488</v>
      </c>
      <c r="C953" s="3" t="s">
        <v>778</v>
      </c>
      <c r="D953" s="3">
        <v>1</v>
      </c>
      <c r="E953" s="3" t="str">
        <f>"2170732090"</f>
        <v>2170732090</v>
      </c>
      <c r="F953" s="3" t="s">
        <v>17</v>
      </c>
      <c r="G953" s="3" t="s">
        <v>18</v>
      </c>
      <c r="H953" s="3" t="s">
        <v>100</v>
      </c>
      <c r="I953" s="3" t="s">
        <v>101</v>
      </c>
      <c r="J953" s="3" t="s">
        <v>131</v>
      </c>
      <c r="K953" s="3" t="s">
        <v>363</v>
      </c>
      <c r="L953" s="4">
        <v>0.3298611111111111</v>
      </c>
      <c r="M953" s="3" t="s">
        <v>132</v>
      </c>
      <c r="N953" s="3" t="s">
        <v>24</v>
      </c>
      <c r="O953" s="3" t="s">
        <v>25</v>
      </c>
    </row>
    <row r="954" spans="1:15">
      <c r="A954" s="3" t="s">
        <v>15</v>
      </c>
      <c r="B954" s="3" t="str">
        <f>"FES1162740528"</f>
        <v>FES1162740528</v>
      </c>
      <c r="C954" s="3" t="s">
        <v>778</v>
      </c>
      <c r="D954" s="3">
        <v>1</v>
      </c>
      <c r="E954" s="3" t="str">
        <f>"2170732143"</f>
        <v>2170732143</v>
      </c>
      <c r="F954" s="3" t="s">
        <v>17</v>
      </c>
      <c r="G954" s="3" t="s">
        <v>18</v>
      </c>
      <c r="H954" s="3" t="s">
        <v>46</v>
      </c>
      <c r="I954" s="3" t="s">
        <v>47</v>
      </c>
      <c r="J954" s="3" t="s">
        <v>48</v>
      </c>
      <c r="K954" s="3" t="s">
        <v>363</v>
      </c>
      <c r="L954" s="4">
        <v>0.43402777777777773</v>
      </c>
      <c r="M954" s="3" t="s">
        <v>1025</v>
      </c>
      <c r="N954" s="3" t="s">
        <v>24</v>
      </c>
      <c r="O954" s="3" t="s">
        <v>25</v>
      </c>
    </row>
    <row r="955" spans="1:15">
      <c r="A955" s="3" t="s">
        <v>15</v>
      </c>
      <c r="B955" s="3" t="str">
        <f>"FES1162740521"</f>
        <v>FES1162740521</v>
      </c>
      <c r="C955" s="3" t="s">
        <v>778</v>
      </c>
      <c r="D955" s="3">
        <v>1</v>
      </c>
      <c r="E955" s="3" t="str">
        <f>"2170732136"</f>
        <v>2170732136</v>
      </c>
      <c r="F955" s="3" t="s">
        <v>17</v>
      </c>
      <c r="G955" s="3" t="s">
        <v>18</v>
      </c>
      <c r="H955" s="3" t="s">
        <v>70</v>
      </c>
      <c r="I955" s="3" t="s">
        <v>71</v>
      </c>
      <c r="J955" s="3" t="s">
        <v>243</v>
      </c>
      <c r="K955" s="3" t="s">
        <v>363</v>
      </c>
      <c r="L955" s="4">
        <v>0.40416666666666662</v>
      </c>
      <c r="M955" s="3" t="s">
        <v>1026</v>
      </c>
      <c r="N955" s="3" t="s">
        <v>24</v>
      </c>
      <c r="O955" s="3" t="s">
        <v>25</v>
      </c>
    </row>
    <row r="956" spans="1:15">
      <c r="A956" s="3" t="s">
        <v>15</v>
      </c>
      <c r="B956" s="3" t="str">
        <f>"FES1162740526"</f>
        <v>FES1162740526</v>
      </c>
      <c r="C956" s="3" t="s">
        <v>778</v>
      </c>
      <c r="D956" s="3">
        <v>1</v>
      </c>
      <c r="E956" s="3" t="str">
        <f>"2170732140"</f>
        <v>2170732140</v>
      </c>
      <c r="F956" s="3" t="s">
        <v>17</v>
      </c>
      <c r="G956" s="3" t="s">
        <v>18</v>
      </c>
      <c r="H956" s="3" t="s">
        <v>36</v>
      </c>
      <c r="I956" s="3" t="s">
        <v>37</v>
      </c>
      <c r="J956" s="3" t="s">
        <v>378</v>
      </c>
      <c r="K956" s="3" t="s">
        <v>363</v>
      </c>
      <c r="L956" s="4">
        <v>0.3756944444444445</v>
      </c>
      <c r="M956" s="3" t="s">
        <v>1027</v>
      </c>
      <c r="N956" s="3" t="s">
        <v>24</v>
      </c>
      <c r="O956" s="3" t="s">
        <v>25</v>
      </c>
    </row>
    <row r="957" spans="1:15">
      <c r="A957" s="3" t="s">
        <v>15</v>
      </c>
      <c r="B957" s="3" t="str">
        <f>"FES1162740537"</f>
        <v>FES1162740537</v>
      </c>
      <c r="C957" s="3" t="s">
        <v>778</v>
      </c>
      <c r="D957" s="3">
        <v>1</v>
      </c>
      <c r="E957" s="3" t="str">
        <f>"2170732158"</f>
        <v>2170732158</v>
      </c>
      <c r="F957" s="3" t="s">
        <v>17</v>
      </c>
      <c r="G957" s="3" t="s">
        <v>18</v>
      </c>
      <c r="H957" s="3" t="s">
        <v>18</v>
      </c>
      <c r="I957" s="3" t="s">
        <v>33</v>
      </c>
      <c r="J957" s="3" t="s">
        <v>1028</v>
      </c>
      <c r="K957" s="3" t="s">
        <v>363</v>
      </c>
      <c r="L957" s="4">
        <v>0.34236111111111112</v>
      </c>
      <c r="M957" s="3" t="s">
        <v>1029</v>
      </c>
      <c r="N957" s="3" t="s">
        <v>24</v>
      </c>
      <c r="O957" s="3" t="s">
        <v>25</v>
      </c>
    </row>
    <row r="958" spans="1:15">
      <c r="A958" s="3" t="s">
        <v>15</v>
      </c>
      <c r="B958" s="3" t="str">
        <f>"FES1162740472"</f>
        <v>FES1162740472</v>
      </c>
      <c r="C958" s="3" t="s">
        <v>778</v>
      </c>
      <c r="D958" s="3">
        <v>1</v>
      </c>
      <c r="E958" s="3" t="str">
        <f>"2170731884"</f>
        <v>2170731884</v>
      </c>
      <c r="F958" s="3" t="s">
        <v>17</v>
      </c>
      <c r="G958" s="3" t="s">
        <v>18</v>
      </c>
      <c r="H958" s="3" t="s">
        <v>215</v>
      </c>
      <c r="I958" s="3" t="s">
        <v>1030</v>
      </c>
      <c r="J958" s="3" t="s">
        <v>1031</v>
      </c>
      <c r="K958" s="3" t="s">
        <v>363</v>
      </c>
      <c r="L958" s="4">
        <v>0.43402777777777773</v>
      </c>
      <c r="M958" s="3" t="s">
        <v>1032</v>
      </c>
      <c r="N958" s="3" t="s">
        <v>24</v>
      </c>
      <c r="O958" s="3" t="s">
        <v>25</v>
      </c>
    </row>
    <row r="959" spans="1:15">
      <c r="A959" s="3" t="s">
        <v>15</v>
      </c>
      <c r="B959" s="3" t="str">
        <f>"FES1162740507"</f>
        <v>FES1162740507</v>
      </c>
      <c r="C959" s="3" t="s">
        <v>778</v>
      </c>
      <c r="D959" s="3">
        <v>1</v>
      </c>
      <c r="E959" s="3" t="str">
        <f>"2170732119"</f>
        <v>2170732119</v>
      </c>
      <c r="F959" s="3" t="s">
        <v>17</v>
      </c>
      <c r="G959" s="3" t="s">
        <v>18</v>
      </c>
      <c r="H959" s="3" t="s">
        <v>18</v>
      </c>
      <c r="I959" s="3" t="s">
        <v>171</v>
      </c>
      <c r="J959" s="3" t="s">
        <v>1033</v>
      </c>
      <c r="K959" s="3" t="s">
        <v>363</v>
      </c>
      <c r="L959" s="4">
        <v>0.32777777777777778</v>
      </c>
      <c r="M959" s="3" t="s">
        <v>1034</v>
      </c>
      <c r="N959" s="3" t="s">
        <v>24</v>
      </c>
      <c r="O959" s="3" t="s">
        <v>25</v>
      </c>
    </row>
    <row r="960" spans="1:15">
      <c r="A960" s="3" t="s">
        <v>15</v>
      </c>
      <c r="B960" s="3" t="str">
        <f>"FES1162740506"</f>
        <v>FES1162740506</v>
      </c>
      <c r="C960" s="3" t="s">
        <v>778</v>
      </c>
      <c r="D960" s="3">
        <v>1</v>
      </c>
      <c r="E960" s="3" t="str">
        <f>"2170732116"</f>
        <v>2170732116</v>
      </c>
      <c r="F960" s="3" t="s">
        <v>17</v>
      </c>
      <c r="G960" s="3" t="s">
        <v>18</v>
      </c>
      <c r="H960" s="3" t="s">
        <v>18</v>
      </c>
      <c r="I960" s="3" t="s">
        <v>168</v>
      </c>
      <c r="J960" s="3" t="s">
        <v>1035</v>
      </c>
      <c r="K960" s="3" t="s">
        <v>363</v>
      </c>
      <c r="L960" s="4">
        <v>0.33333333333333331</v>
      </c>
      <c r="M960" s="3" t="s">
        <v>1036</v>
      </c>
      <c r="N960" s="3" t="s">
        <v>24</v>
      </c>
      <c r="O960" s="3" t="s">
        <v>25</v>
      </c>
    </row>
    <row r="961" spans="1:15">
      <c r="A961" s="3" t="s">
        <v>15</v>
      </c>
      <c r="B961" s="3" t="str">
        <f>"009935712356"</f>
        <v>009935712356</v>
      </c>
      <c r="C961" s="3" t="s">
        <v>778</v>
      </c>
      <c r="D961" s="3">
        <v>1</v>
      </c>
      <c r="E961" s="3" t="str">
        <f>"1162733871"</f>
        <v>1162733871</v>
      </c>
      <c r="F961" s="3" t="s">
        <v>17</v>
      </c>
      <c r="G961" s="3" t="s">
        <v>18</v>
      </c>
      <c r="H961" s="3" t="s">
        <v>18</v>
      </c>
      <c r="I961" s="3" t="s">
        <v>206</v>
      </c>
      <c r="J961" s="3" t="s">
        <v>399</v>
      </c>
      <c r="K961" s="3" t="s">
        <v>662</v>
      </c>
      <c r="L961" s="4">
        <v>0.59722222222222221</v>
      </c>
      <c r="M961" s="3" t="s">
        <v>321</v>
      </c>
      <c r="N961" s="3" t="s">
        <v>24</v>
      </c>
      <c r="O961" s="3" t="s">
        <v>32</v>
      </c>
    </row>
    <row r="962" spans="1:15">
      <c r="A962" s="3" t="s">
        <v>15</v>
      </c>
      <c r="B962" s="3" t="str">
        <f>"FES1162740509"</f>
        <v>FES1162740509</v>
      </c>
      <c r="C962" s="3" t="s">
        <v>778</v>
      </c>
      <c r="D962" s="3">
        <v>1</v>
      </c>
      <c r="E962" s="3" t="str">
        <f>"2170732121"</f>
        <v>2170732121</v>
      </c>
      <c r="F962" s="3" t="s">
        <v>17</v>
      </c>
      <c r="G962" s="3" t="s">
        <v>18</v>
      </c>
      <c r="H962" s="3" t="s">
        <v>18</v>
      </c>
      <c r="I962" s="3" t="s">
        <v>1037</v>
      </c>
      <c r="J962" s="3" t="s">
        <v>1038</v>
      </c>
      <c r="K962" s="3" t="s">
        <v>363</v>
      </c>
      <c r="L962" s="4">
        <v>0.4465277777777778</v>
      </c>
      <c r="M962" s="3" t="s">
        <v>1039</v>
      </c>
      <c r="N962" s="3" t="s">
        <v>24</v>
      </c>
      <c r="O962" s="3" t="s">
        <v>25</v>
      </c>
    </row>
    <row r="963" spans="1:15">
      <c r="A963" s="3" t="s">
        <v>15</v>
      </c>
      <c r="B963" s="3" t="str">
        <f>"FES1162740480"</f>
        <v>FES1162740480</v>
      </c>
      <c r="C963" s="3" t="s">
        <v>778</v>
      </c>
      <c r="D963" s="3">
        <v>1</v>
      </c>
      <c r="E963" s="3" t="str">
        <f>"21707320802"</f>
        <v>21707320802</v>
      </c>
      <c r="F963" s="3" t="s">
        <v>17</v>
      </c>
      <c r="G963" s="3" t="s">
        <v>18</v>
      </c>
      <c r="H963" s="3" t="s">
        <v>18</v>
      </c>
      <c r="I963" s="3" t="s">
        <v>33</v>
      </c>
      <c r="J963" s="3" t="s">
        <v>284</v>
      </c>
      <c r="K963" s="3" t="s">
        <v>363</v>
      </c>
      <c r="L963" s="4">
        <v>0.375</v>
      </c>
      <c r="M963" s="3" t="s">
        <v>268</v>
      </c>
      <c r="N963" s="3" t="s">
        <v>24</v>
      </c>
      <c r="O963" s="3" t="s">
        <v>25</v>
      </c>
    </row>
    <row r="964" spans="1:15">
      <c r="A964" s="3" t="s">
        <v>15</v>
      </c>
      <c r="B964" s="3" t="str">
        <f>"FES1162740498"</f>
        <v>FES1162740498</v>
      </c>
      <c r="C964" s="3" t="s">
        <v>778</v>
      </c>
      <c r="D964" s="3">
        <v>1</v>
      </c>
      <c r="E964" s="3" t="str">
        <f>"2170730105"</f>
        <v>2170730105</v>
      </c>
      <c r="F964" s="3" t="s">
        <v>17</v>
      </c>
      <c r="G964" s="3" t="s">
        <v>18</v>
      </c>
      <c r="H964" s="3" t="s">
        <v>66</v>
      </c>
      <c r="I964" s="3" t="s">
        <v>67</v>
      </c>
      <c r="J964" s="3" t="s">
        <v>1040</v>
      </c>
      <c r="K964" s="3" t="s">
        <v>363</v>
      </c>
      <c r="L964" s="4">
        <v>0.3611111111111111</v>
      </c>
      <c r="M964" s="3" t="s">
        <v>666</v>
      </c>
      <c r="N964" s="3" t="s">
        <v>24</v>
      </c>
      <c r="O964" s="3" t="s">
        <v>25</v>
      </c>
    </row>
    <row r="965" spans="1:15">
      <c r="A965" s="3" t="s">
        <v>15</v>
      </c>
      <c r="B965" s="3" t="str">
        <f>"FES1162740456"</f>
        <v>FES1162740456</v>
      </c>
      <c r="C965" s="3" t="s">
        <v>778</v>
      </c>
      <c r="D965" s="3">
        <v>1</v>
      </c>
      <c r="E965" s="3" t="str">
        <f>"2170732053"</f>
        <v>2170732053</v>
      </c>
      <c r="F965" s="3" t="s">
        <v>17</v>
      </c>
      <c r="G965" s="3" t="s">
        <v>18</v>
      </c>
      <c r="H965" s="3" t="s">
        <v>18</v>
      </c>
      <c r="I965" s="3" t="s">
        <v>453</v>
      </c>
      <c r="J965" s="3" t="s">
        <v>726</v>
      </c>
      <c r="K965" s="3" t="s">
        <v>662</v>
      </c>
      <c r="L965" s="4">
        <v>0.57638888888888895</v>
      </c>
      <c r="M965" s="3" t="s">
        <v>321</v>
      </c>
      <c r="N965" s="3" t="s">
        <v>24</v>
      </c>
      <c r="O965" s="3" t="s">
        <v>25</v>
      </c>
    </row>
    <row r="966" spans="1:15">
      <c r="A966" s="3" t="s">
        <v>15</v>
      </c>
      <c r="B966" s="3" t="str">
        <f>"FES1162736071"</f>
        <v>FES1162736071</v>
      </c>
      <c r="C966" s="3" t="s">
        <v>778</v>
      </c>
      <c r="D966" s="3">
        <v>1</v>
      </c>
      <c r="E966" s="3" t="str">
        <f>"2170737419"</f>
        <v>2170737419</v>
      </c>
      <c r="F966" s="3" t="s">
        <v>17</v>
      </c>
      <c r="G966" s="3" t="s">
        <v>18</v>
      </c>
      <c r="H966" s="3" t="s">
        <v>18</v>
      </c>
      <c r="I966" s="3" t="s">
        <v>33</v>
      </c>
      <c r="J966" s="3" t="s">
        <v>93</v>
      </c>
      <c r="K966" s="3" t="s">
        <v>363</v>
      </c>
      <c r="L966" s="4">
        <v>0.375</v>
      </c>
      <c r="M966" s="3" t="s">
        <v>94</v>
      </c>
      <c r="N966" s="3" t="s">
        <v>24</v>
      </c>
      <c r="O966" s="3" t="s">
        <v>25</v>
      </c>
    </row>
    <row r="967" spans="1:15">
      <c r="A967" s="3" t="s">
        <v>15</v>
      </c>
      <c r="B967" s="3" t="str">
        <f>"FES1162740494"</f>
        <v>FES1162740494</v>
      </c>
      <c r="C967" s="3" t="s">
        <v>778</v>
      </c>
      <c r="D967" s="3">
        <v>1</v>
      </c>
      <c r="E967" s="3" t="str">
        <f>"2170732097"</f>
        <v>2170732097</v>
      </c>
      <c r="F967" s="3" t="s">
        <v>17</v>
      </c>
      <c r="G967" s="3" t="s">
        <v>18</v>
      </c>
      <c r="H967" s="3" t="s">
        <v>18</v>
      </c>
      <c r="I967" s="3" t="s">
        <v>525</v>
      </c>
      <c r="J967" s="3" t="s">
        <v>1041</v>
      </c>
      <c r="K967" s="3" t="s">
        <v>363</v>
      </c>
      <c r="L967" s="4">
        <v>0.39861111111111108</v>
      </c>
      <c r="M967" s="3" t="s">
        <v>203</v>
      </c>
      <c r="N967" s="3" t="s">
        <v>24</v>
      </c>
      <c r="O967" s="3" t="s">
        <v>25</v>
      </c>
    </row>
    <row r="968" spans="1:15">
      <c r="A968" s="3" t="s">
        <v>15</v>
      </c>
      <c r="B968" s="3" t="str">
        <f>"FES1162740515"</f>
        <v>FES1162740515</v>
      </c>
      <c r="C968" s="3" t="s">
        <v>778</v>
      </c>
      <c r="D968" s="3">
        <v>1</v>
      </c>
      <c r="E968" s="3" t="str">
        <f>"2170732128"</f>
        <v>2170732128</v>
      </c>
      <c r="F968" s="3" t="s">
        <v>17</v>
      </c>
      <c r="G968" s="3" t="s">
        <v>18</v>
      </c>
      <c r="H968" s="3" t="s">
        <v>18</v>
      </c>
      <c r="I968" s="3" t="s">
        <v>184</v>
      </c>
      <c r="J968" s="3" t="s">
        <v>185</v>
      </c>
      <c r="K968" s="3" t="s">
        <v>363</v>
      </c>
      <c r="L968" s="4">
        <v>0.375</v>
      </c>
      <c r="M968" s="3" t="s">
        <v>268</v>
      </c>
      <c r="N968" s="3" t="s">
        <v>24</v>
      </c>
      <c r="O968" s="3" t="s">
        <v>25</v>
      </c>
    </row>
    <row r="969" spans="1:15">
      <c r="A969" s="3" t="s">
        <v>15</v>
      </c>
      <c r="B969" s="3" t="str">
        <f>"FES1162740487"</f>
        <v>FES1162740487</v>
      </c>
      <c r="C969" s="3" t="s">
        <v>778</v>
      </c>
      <c r="D969" s="3">
        <v>1</v>
      </c>
      <c r="E969" s="3" t="str">
        <f>"2170732089"</f>
        <v>2170732089</v>
      </c>
      <c r="F969" s="3" t="s">
        <v>17</v>
      </c>
      <c r="G969" s="3" t="s">
        <v>18</v>
      </c>
      <c r="H969" s="3" t="s">
        <v>18</v>
      </c>
      <c r="I969" s="3" t="s">
        <v>33</v>
      </c>
      <c r="J969" s="3" t="s">
        <v>34</v>
      </c>
      <c r="K969" s="3" t="s">
        <v>363</v>
      </c>
      <c r="L969" s="4">
        <v>0.36527777777777781</v>
      </c>
      <c r="M969" s="3" t="s">
        <v>945</v>
      </c>
      <c r="N969" s="3" t="s">
        <v>24</v>
      </c>
      <c r="O969" s="3" t="s">
        <v>25</v>
      </c>
    </row>
    <row r="970" spans="1:15">
      <c r="A970" s="3" t="s">
        <v>15</v>
      </c>
      <c r="B970" s="3" t="str">
        <f>"FES1162740514"</f>
        <v>FES1162740514</v>
      </c>
      <c r="C970" s="3" t="s">
        <v>778</v>
      </c>
      <c r="D970" s="3">
        <v>1</v>
      </c>
      <c r="E970" s="3" t="str">
        <f>"2170732127"</f>
        <v>2170732127</v>
      </c>
      <c r="F970" s="3" t="s">
        <v>17</v>
      </c>
      <c r="G970" s="3" t="s">
        <v>18</v>
      </c>
      <c r="H970" s="3" t="s">
        <v>18</v>
      </c>
      <c r="I970" s="3" t="s">
        <v>29</v>
      </c>
      <c r="J970" s="3" t="s">
        <v>307</v>
      </c>
      <c r="K970" s="3" t="s">
        <v>363</v>
      </c>
      <c r="L970" s="4">
        <v>0.33124999999999999</v>
      </c>
      <c r="M970" s="3" t="s">
        <v>308</v>
      </c>
      <c r="N970" s="3" t="s">
        <v>24</v>
      </c>
      <c r="O970" s="3" t="s">
        <v>25</v>
      </c>
    </row>
    <row r="971" spans="1:15">
      <c r="A971" s="3" t="s">
        <v>15</v>
      </c>
      <c r="B971" s="3" t="str">
        <f>"FES1162740516"</f>
        <v>FES1162740516</v>
      </c>
      <c r="C971" s="3" t="s">
        <v>778</v>
      </c>
      <c r="D971" s="3">
        <v>1</v>
      </c>
      <c r="E971" s="3" t="str">
        <f>"217073129"</f>
        <v>217073129</v>
      </c>
      <c r="F971" s="3" t="s">
        <v>17</v>
      </c>
      <c r="G971" s="3" t="s">
        <v>18</v>
      </c>
      <c r="H971" s="3" t="s">
        <v>18</v>
      </c>
      <c r="I971" s="3" t="s">
        <v>29</v>
      </c>
      <c r="J971" s="3" t="s">
        <v>307</v>
      </c>
      <c r="K971" s="3" t="s">
        <v>363</v>
      </c>
      <c r="L971" s="4">
        <v>0.33055555555555555</v>
      </c>
      <c r="M971" s="3" t="s">
        <v>308</v>
      </c>
      <c r="N971" s="3" t="s">
        <v>24</v>
      </c>
      <c r="O971" s="3" t="s">
        <v>25</v>
      </c>
    </row>
    <row r="972" spans="1:15">
      <c r="A972" s="3" t="s">
        <v>15</v>
      </c>
      <c r="B972" s="3" t="str">
        <f>"FES1162740520"</f>
        <v>FES1162740520</v>
      </c>
      <c r="C972" s="3" t="s">
        <v>778</v>
      </c>
      <c r="D972" s="3">
        <v>1</v>
      </c>
      <c r="E972" s="3" t="str">
        <f>"217072135"</f>
        <v>217072135</v>
      </c>
      <c r="F972" s="3" t="s">
        <v>17</v>
      </c>
      <c r="G972" s="3" t="s">
        <v>18</v>
      </c>
      <c r="H972" s="3" t="s">
        <v>70</v>
      </c>
      <c r="I972" s="3" t="s">
        <v>71</v>
      </c>
      <c r="J972" s="3" t="s">
        <v>422</v>
      </c>
      <c r="K972" s="3" t="s">
        <v>1042</v>
      </c>
      <c r="L972" s="4">
        <v>0.3923611111111111</v>
      </c>
      <c r="M972" s="3" t="s">
        <v>423</v>
      </c>
      <c r="N972" s="3" t="s">
        <v>24</v>
      </c>
      <c r="O972" s="3" t="s">
        <v>25</v>
      </c>
    </row>
    <row r="973" spans="1:15">
      <c r="A973" s="3" t="s">
        <v>15</v>
      </c>
      <c r="B973" s="3" t="str">
        <f>"FES1162740523"</f>
        <v>FES1162740523</v>
      </c>
      <c r="C973" s="3" t="s">
        <v>778</v>
      </c>
      <c r="D973" s="3">
        <v>1</v>
      </c>
      <c r="E973" s="3" t="str">
        <f>"2170732108"</f>
        <v>2170732108</v>
      </c>
      <c r="F973" s="3" t="s">
        <v>17</v>
      </c>
      <c r="G973" s="3" t="s">
        <v>18</v>
      </c>
      <c r="H973" s="3" t="s">
        <v>19</v>
      </c>
      <c r="I973" s="3" t="s">
        <v>51</v>
      </c>
      <c r="J973" s="3" t="s">
        <v>1002</v>
      </c>
      <c r="K973" s="3" t="s">
        <v>363</v>
      </c>
      <c r="L973" s="4">
        <v>0.41111111111111115</v>
      </c>
      <c r="M973" s="3" t="s">
        <v>1003</v>
      </c>
      <c r="N973" s="3" t="s">
        <v>24</v>
      </c>
      <c r="O973" s="3" t="s">
        <v>25</v>
      </c>
    </row>
    <row r="974" spans="1:15">
      <c r="A974" s="3" t="s">
        <v>15</v>
      </c>
      <c r="B974" s="3" t="str">
        <f>"FES1162740517"</f>
        <v>FES1162740517</v>
      </c>
      <c r="C974" s="3" t="s">
        <v>778</v>
      </c>
      <c r="D974" s="3">
        <v>1</v>
      </c>
      <c r="E974" s="3" t="str">
        <f>"2170732131"</f>
        <v>2170732131</v>
      </c>
      <c r="F974" s="3" t="s">
        <v>17</v>
      </c>
      <c r="G974" s="3" t="s">
        <v>18</v>
      </c>
      <c r="H974" s="3" t="s">
        <v>18</v>
      </c>
      <c r="I974" s="3" t="s">
        <v>180</v>
      </c>
      <c r="J974" s="3" t="s">
        <v>405</v>
      </c>
      <c r="K974" s="3" t="s">
        <v>363</v>
      </c>
      <c r="L974" s="4">
        <v>0.37777777777777777</v>
      </c>
      <c r="M974" s="3" t="s">
        <v>1043</v>
      </c>
      <c r="N974" s="3" t="s">
        <v>24</v>
      </c>
      <c r="O974" s="3" t="s">
        <v>25</v>
      </c>
    </row>
    <row r="975" spans="1:15">
      <c r="A975" s="3" t="s">
        <v>15</v>
      </c>
      <c r="B975" s="3" t="str">
        <f>"FES1162740549"</f>
        <v>FES1162740549</v>
      </c>
      <c r="C975" s="3" t="s">
        <v>778</v>
      </c>
      <c r="D975" s="3">
        <v>1</v>
      </c>
      <c r="E975" s="3" t="str">
        <f>"2170732170"</f>
        <v>2170732170</v>
      </c>
      <c r="F975" s="3" t="s">
        <v>17</v>
      </c>
      <c r="G975" s="3" t="s">
        <v>18</v>
      </c>
      <c r="H975" s="3" t="s">
        <v>100</v>
      </c>
      <c r="I975" s="3" t="s">
        <v>101</v>
      </c>
      <c r="J975" s="3" t="s">
        <v>653</v>
      </c>
      <c r="K975" s="3" t="s">
        <v>363</v>
      </c>
      <c r="L975" s="4">
        <v>0.3527777777777778</v>
      </c>
      <c r="M975" s="3" t="s">
        <v>1044</v>
      </c>
      <c r="N975" s="3" t="s">
        <v>24</v>
      </c>
      <c r="O975" s="3" t="s">
        <v>25</v>
      </c>
    </row>
    <row r="976" spans="1:15">
      <c r="A976" s="3" t="s">
        <v>15</v>
      </c>
      <c r="B976" s="3" t="str">
        <f>"FES1162740554"</f>
        <v>FES1162740554</v>
      </c>
      <c r="C976" s="3" t="s">
        <v>778</v>
      </c>
      <c r="D976" s="3">
        <v>1</v>
      </c>
      <c r="E976" s="3" t="str">
        <f>"2170732175"</f>
        <v>2170732175</v>
      </c>
      <c r="F976" s="3" t="s">
        <v>17</v>
      </c>
      <c r="G976" s="3" t="s">
        <v>18</v>
      </c>
      <c r="H976" s="3" t="s">
        <v>19</v>
      </c>
      <c r="I976" s="3" t="s">
        <v>20</v>
      </c>
      <c r="J976" s="3" t="s">
        <v>21</v>
      </c>
      <c r="K976" s="3" t="s">
        <v>363</v>
      </c>
      <c r="L976" s="4">
        <v>0.41805555555555557</v>
      </c>
      <c r="M976" s="3" t="s">
        <v>23</v>
      </c>
      <c r="N976" s="3" t="s">
        <v>24</v>
      </c>
      <c r="O976" s="3" t="s">
        <v>25</v>
      </c>
    </row>
    <row r="977" spans="1:15">
      <c r="A977" s="3" t="s">
        <v>15</v>
      </c>
      <c r="B977" s="3" t="str">
        <f>"FES1162740503"</f>
        <v>FES1162740503</v>
      </c>
      <c r="C977" s="3" t="s">
        <v>778</v>
      </c>
      <c r="D977" s="3">
        <v>1</v>
      </c>
      <c r="E977" s="3" t="str">
        <f>"2170732112"</f>
        <v>2170732112</v>
      </c>
      <c r="F977" s="3" t="s">
        <v>17</v>
      </c>
      <c r="G977" s="3" t="s">
        <v>18</v>
      </c>
      <c r="H977" s="3" t="s">
        <v>100</v>
      </c>
      <c r="I977" s="3" t="s">
        <v>101</v>
      </c>
      <c r="J977" s="3" t="s">
        <v>1045</v>
      </c>
      <c r="K977" s="3" t="s">
        <v>363</v>
      </c>
      <c r="L977" s="4">
        <v>0.38680555555555557</v>
      </c>
      <c r="M977" s="3" t="s">
        <v>1046</v>
      </c>
      <c r="N977" s="3" t="s">
        <v>24</v>
      </c>
      <c r="O977" s="3" t="s">
        <v>25</v>
      </c>
    </row>
    <row r="978" spans="1:15">
      <c r="A978" s="3" t="s">
        <v>15</v>
      </c>
      <c r="B978" s="3" t="str">
        <f>"FES1162740545"</f>
        <v>FES1162740545</v>
      </c>
      <c r="C978" s="3" t="s">
        <v>778</v>
      </c>
      <c r="D978" s="3">
        <v>1</v>
      </c>
      <c r="E978" s="3" t="str">
        <f>"2170732162"</f>
        <v>2170732162</v>
      </c>
      <c r="F978" s="3" t="s">
        <v>17</v>
      </c>
      <c r="G978" s="3" t="s">
        <v>18</v>
      </c>
      <c r="H978" s="3" t="s">
        <v>100</v>
      </c>
      <c r="I978" s="3" t="s">
        <v>101</v>
      </c>
      <c r="J978" s="3" t="s">
        <v>131</v>
      </c>
      <c r="K978" s="3" t="s">
        <v>363</v>
      </c>
      <c r="L978" s="4">
        <v>0.3298611111111111</v>
      </c>
      <c r="M978" s="3" t="s">
        <v>132</v>
      </c>
      <c r="N978" s="3" t="s">
        <v>24</v>
      </c>
      <c r="O978" s="3" t="s">
        <v>25</v>
      </c>
    </row>
    <row r="979" spans="1:15">
      <c r="A979" s="3" t="s">
        <v>15</v>
      </c>
      <c r="B979" s="3" t="str">
        <f>"FES1162740544"</f>
        <v>FES1162740544</v>
      </c>
      <c r="C979" s="3" t="s">
        <v>778</v>
      </c>
      <c r="D979" s="3">
        <v>1</v>
      </c>
      <c r="E979" s="3" t="str">
        <f>"21707362161"</f>
        <v>21707362161</v>
      </c>
      <c r="F979" s="3" t="s">
        <v>17</v>
      </c>
      <c r="G979" s="3" t="s">
        <v>18</v>
      </c>
      <c r="H979" s="3" t="s">
        <v>36</v>
      </c>
      <c r="I979" s="3" t="s">
        <v>37</v>
      </c>
      <c r="J979" s="3" t="s">
        <v>700</v>
      </c>
      <c r="K979" s="3" t="s">
        <v>363</v>
      </c>
      <c r="L979" s="4">
        <v>0.36319444444444443</v>
      </c>
      <c r="M979" s="3" t="s">
        <v>1047</v>
      </c>
      <c r="N979" s="3" t="s">
        <v>24</v>
      </c>
      <c r="O979" s="3" t="s">
        <v>25</v>
      </c>
    </row>
    <row r="980" spans="1:15">
      <c r="A980" s="3" t="s">
        <v>15</v>
      </c>
      <c r="B980" s="3" t="str">
        <f>"FES1162740535"</f>
        <v>FES1162740535</v>
      </c>
      <c r="C980" s="3" t="s">
        <v>778</v>
      </c>
      <c r="D980" s="3">
        <v>1</v>
      </c>
      <c r="E980" s="3" t="str">
        <f>"2170732153"</f>
        <v>2170732153</v>
      </c>
      <c r="F980" s="3" t="s">
        <v>17</v>
      </c>
      <c r="G980" s="3" t="s">
        <v>18</v>
      </c>
      <c r="H980" s="3" t="s">
        <v>36</v>
      </c>
      <c r="I980" s="3" t="s">
        <v>37</v>
      </c>
      <c r="J980" s="3" t="s">
        <v>585</v>
      </c>
      <c r="K980" s="3" t="s">
        <v>363</v>
      </c>
      <c r="L980" s="4">
        <v>0.42499999999999999</v>
      </c>
      <c r="M980" s="3" t="s">
        <v>862</v>
      </c>
      <c r="N980" s="3" t="s">
        <v>24</v>
      </c>
      <c r="O980" s="3" t="s">
        <v>25</v>
      </c>
    </row>
    <row r="981" spans="1:15">
      <c r="A981" s="3" t="s">
        <v>15</v>
      </c>
      <c r="B981" s="3" t="str">
        <f>"FES1162740553"</f>
        <v>FES1162740553</v>
      </c>
      <c r="C981" s="3" t="s">
        <v>778</v>
      </c>
      <c r="D981" s="3">
        <v>1</v>
      </c>
      <c r="E981" s="3" t="str">
        <f>"2170732174"</f>
        <v>2170732174</v>
      </c>
      <c r="F981" s="3" t="s">
        <v>17</v>
      </c>
      <c r="G981" s="3" t="s">
        <v>18</v>
      </c>
      <c r="H981" s="3" t="s">
        <v>18</v>
      </c>
      <c r="I981" s="3" t="s">
        <v>29</v>
      </c>
      <c r="J981" s="3" t="s">
        <v>307</v>
      </c>
      <c r="K981" s="3" t="s">
        <v>363</v>
      </c>
      <c r="L981" s="4">
        <v>0.33749999999999997</v>
      </c>
      <c r="M981" s="3" t="s">
        <v>1048</v>
      </c>
      <c r="N981" s="3" t="s">
        <v>24</v>
      </c>
      <c r="O981" s="3" t="s">
        <v>25</v>
      </c>
    </row>
    <row r="982" spans="1:15">
      <c r="A982" s="3" t="s">
        <v>15</v>
      </c>
      <c r="B982" s="3" t="str">
        <f>"FES1162740532"</f>
        <v>FES1162740532</v>
      </c>
      <c r="C982" s="3" t="s">
        <v>778</v>
      </c>
      <c r="D982" s="3">
        <v>1</v>
      </c>
      <c r="E982" s="3" t="str">
        <f>"217072151"</f>
        <v>217072151</v>
      </c>
      <c r="F982" s="3" t="s">
        <v>17</v>
      </c>
      <c r="G982" s="3" t="s">
        <v>18</v>
      </c>
      <c r="H982" s="3" t="s">
        <v>46</v>
      </c>
      <c r="I982" s="3" t="s">
        <v>47</v>
      </c>
      <c r="J982" s="3" t="s">
        <v>48</v>
      </c>
      <c r="K982" s="3" t="s">
        <v>363</v>
      </c>
      <c r="L982" s="4">
        <v>0.43402777777777773</v>
      </c>
      <c r="M982" s="3" t="s">
        <v>1025</v>
      </c>
      <c r="N982" s="3" t="s">
        <v>24</v>
      </c>
      <c r="O982" s="3" t="s">
        <v>25</v>
      </c>
    </row>
    <row r="983" spans="1:15">
      <c r="A983" s="3" t="s">
        <v>15</v>
      </c>
      <c r="B983" s="3" t="str">
        <f>"FES1162740542"</f>
        <v>FES1162740542</v>
      </c>
      <c r="C983" s="3" t="s">
        <v>778</v>
      </c>
      <c r="D983" s="3">
        <v>1</v>
      </c>
      <c r="E983" s="3" t="str">
        <f>"2170732159"</f>
        <v>2170732159</v>
      </c>
      <c r="F983" s="3" t="s">
        <v>17</v>
      </c>
      <c r="G983" s="3" t="s">
        <v>18</v>
      </c>
      <c r="H983" s="3" t="s">
        <v>100</v>
      </c>
      <c r="I983" s="3" t="s">
        <v>101</v>
      </c>
      <c r="J983" s="3" t="s">
        <v>129</v>
      </c>
      <c r="K983" s="3" t="s">
        <v>363</v>
      </c>
      <c r="L983" s="4">
        <v>0.35069444444444442</v>
      </c>
      <c r="M983" s="3" t="s">
        <v>130</v>
      </c>
      <c r="N983" s="3" t="s">
        <v>24</v>
      </c>
      <c r="O983" s="3" t="s">
        <v>25</v>
      </c>
    </row>
    <row r="984" spans="1:15">
      <c r="A984" s="5" t="s">
        <v>15</v>
      </c>
      <c r="B984" s="5" t="str">
        <f>"FES1162740536"</f>
        <v>FES1162740536</v>
      </c>
      <c r="C984" s="5" t="s">
        <v>778</v>
      </c>
      <c r="D984" s="5">
        <v>1</v>
      </c>
      <c r="E984" s="5" t="str">
        <f>"2170732157"</f>
        <v>2170732157</v>
      </c>
      <c r="F984" s="5" t="s">
        <v>17</v>
      </c>
      <c r="G984" s="5" t="s">
        <v>18</v>
      </c>
      <c r="H984" s="5" t="s">
        <v>36</v>
      </c>
      <c r="I984" s="5" t="s">
        <v>37</v>
      </c>
      <c r="J984" s="5" t="s">
        <v>585</v>
      </c>
      <c r="K984" s="5" t="s">
        <v>363</v>
      </c>
      <c r="L984" s="6">
        <v>0.42499999999999999</v>
      </c>
      <c r="M984" s="5" t="s">
        <v>862</v>
      </c>
      <c r="N984" s="5" t="s">
        <v>24</v>
      </c>
      <c r="O984" s="5" t="s">
        <v>25</v>
      </c>
    </row>
    <row r="985" spans="1:15">
      <c r="A985" s="5" t="s">
        <v>15</v>
      </c>
      <c r="B985" s="5" t="str">
        <f>"FES1162740548"</f>
        <v>FES1162740548</v>
      </c>
      <c r="C985" s="5" t="s">
        <v>778</v>
      </c>
      <c r="D985" s="5">
        <v>1</v>
      </c>
      <c r="E985" s="5" t="str">
        <f>"2170732167"</f>
        <v>2170732167</v>
      </c>
      <c r="F985" s="5" t="s">
        <v>17</v>
      </c>
      <c r="G985" s="5" t="s">
        <v>18</v>
      </c>
      <c r="H985" s="5" t="s">
        <v>66</v>
      </c>
      <c r="I985" s="5" t="s">
        <v>67</v>
      </c>
      <c r="J985" s="5" t="s">
        <v>278</v>
      </c>
      <c r="K985" s="5" t="s">
        <v>363</v>
      </c>
      <c r="L985" s="6">
        <v>0.39097222222222222</v>
      </c>
      <c r="M985" s="5" t="s">
        <v>1019</v>
      </c>
      <c r="N985" s="5" t="s">
        <v>24</v>
      </c>
      <c r="O985" s="5" t="s">
        <v>25</v>
      </c>
    </row>
    <row r="986" spans="1:15">
      <c r="A986" s="5" t="s">
        <v>15</v>
      </c>
      <c r="B986" s="5" t="str">
        <f>"FES1162740564"</f>
        <v>FES1162740564</v>
      </c>
      <c r="C986" s="5" t="s">
        <v>778</v>
      </c>
      <c r="D986" s="5">
        <v>1</v>
      </c>
      <c r="E986" s="5" t="str">
        <f>"2170732185"</f>
        <v>2170732185</v>
      </c>
      <c r="F986" s="5" t="s">
        <v>17</v>
      </c>
      <c r="G986" s="5" t="s">
        <v>18</v>
      </c>
      <c r="H986" s="5" t="s">
        <v>18</v>
      </c>
      <c r="I986" s="5" t="s">
        <v>206</v>
      </c>
      <c r="J986" s="5" t="s">
        <v>207</v>
      </c>
      <c r="K986" s="5" t="s">
        <v>363</v>
      </c>
      <c r="L986" s="6">
        <v>0.4375</v>
      </c>
      <c r="M986" s="5" t="s">
        <v>711</v>
      </c>
      <c r="N986" s="5" t="s">
        <v>24</v>
      </c>
      <c r="O986" s="5" t="s">
        <v>25</v>
      </c>
    </row>
    <row r="987" spans="1:15">
      <c r="A987" s="5" t="s">
        <v>15</v>
      </c>
      <c r="B987" s="5" t="str">
        <f>"FES1162740538"</f>
        <v>FES1162740538</v>
      </c>
      <c r="C987" s="5" t="s">
        <v>778</v>
      </c>
      <c r="D987" s="5">
        <v>1</v>
      </c>
      <c r="E987" s="5" t="str">
        <f>"2170725668"</f>
        <v>2170725668</v>
      </c>
      <c r="F987" s="5" t="s">
        <v>17</v>
      </c>
      <c r="G987" s="5" t="s">
        <v>18</v>
      </c>
      <c r="H987" s="5" t="s">
        <v>18</v>
      </c>
      <c r="I987" s="5" t="s">
        <v>171</v>
      </c>
      <c r="J987" s="5" t="s">
        <v>522</v>
      </c>
      <c r="K987" s="5" t="s">
        <v>363</v>
      </c>
      <c r="L987" s="6">
        <v>0.31458333333333333</v>
      </c>
      <c r="M987" s="5" t="s">
        <v>1049</v>
      </c>
      <c r="N987" s="5" t="s">
        <v>24</v>
      </c>
      <c r="O987" s="5" t="s">
        <v>25</v>
      </c>
    </row>
    <row r="988" spans="1:15">
      <c r="A988" s="5" t="s">
        <v>15</v>
      </c>
      <c r="B988" s="5" t="str">
        <f>"FES1162740551"</f>
        <v>FES1162740551</v>
      </c>
      <c r="C988" s="5" t="s">
        <v>778</v>
      </c>
      <c r="D988" s="5">
        <v>1</v>
      </c>
      <c r="E988" s="5" t="str">
        <f>"2170732173"</f>
        <v>2170732173</v>
      </c>
      <c r="F988" s="5" t="s">
        <v>17</v>
      </c>
      <c r="G988" s="5" t="s">
        <v>18</v>
      </c>
      <c r="H988" s="5" t="s">
        <v>18</v>
      </c>
      <c r="I988" s="5" t="s">
        <v>341</v>
      </c>
      <c r="J988" s="5" t="s">
        <v>923</v>
      </c>
      <c r="K988" s="5" t="s">
        <v>363</v>
      </c>
      <c r="L988" s="6">
        <v>0.375</v>
      </c>
      <c r="M988" s="5" t="s">
        <v>1050</v>
      </c>
      <c r="N988" s="5" t="s">
        <v>24</v>
      </c>
      <c r="O988" s="5" t="s">
        <v>25</v>
      </c>
    </row>
    <row r="989" spans="1:15">
      <c r="A989" s="5" t="s">
        <v>15</v>
      </c>
      <c r="B989" s="5" t="str">
        <f>"FES1162740556"</f>
        <v>FES1162740556</v>
      </c>
      <c r="C989" s="5" t="s">
        <v>778</v>
      </c>
      <c r="D989" s="5">
        <v>1</v>
      </c>
      <c r="E989" s="5" t="str">
        <f>"2170732178"</f>
        <v>2170732178</v>
      </c>
      <c r="F989" s="5" t="s">
        <v>17</v>
      </c>
      <c r="G989" s="5" t="s">
        <v>18</v>
      </c>
      <c r="H989" s="5" t="s">
        <v>18</v>
      </c>
      <c r="I989" s="5" t="s">
        <v>168</v>
      </c>
      <c r="J989" s="5" t="s">
        <v>1051</v>
      </c>
      <c r="K989" s="5" t="s">
        <v>363</v>
      </c>
      <c r="L989" s="6">
        <v>0.3979166666666667</v>
      </c>
      <c r="M989" s="5" t="s">
        <v>1052</v>
      </c>
      <c r="N989" s="5" t="s">
        <v>24</v>
      </c>
      <c r="O989" s="5" t="s">
        <v>25</v>
      </c>
    </row>
    <row r="990" spans="1:15">
      <c r="A990" s="5" t="s">
        <v>15</v>
      </c>
      <c r="B990" s="5" t="str">
        <f>"FES1162740550"</f>
        <v>FES1162740550</v>
      </c>
      <c r="C990" s="5" t="s">
        <v>778</v>
      </c>
      <c r="D990" s="5">
        <v>1</v>
      </c>
      <c r="E990" s="5" t="str">
        <f>"2170732171"</f>
        <v>2170732171</v>
      </c>
      <c r="F990" s="5" t="s">
        <v>17</v>
      </c>
      <c r="G990" s="5" t="s">
        <v>18</v>
      </c>
      <c r="H990" s="5" t="s">
        <v>18</v>
      </c>
      <c r="I990" s="5" t="s">
        <v>341</v>
      </c>
      <c r="J990" s="5" t="s">
        <v>923</v>
      </c>
      <c r="K990" s="5" t="s">
        <v>363</v>
      </c>
      <c r="L990" s="6">
        <v>0.375</v>
      </c>
      <c r="M990" s="5" t="s">
        <v>1050</v>
      </c>
      <c r="N990" s="5" t="s">
        <v>24</v>
      </c>
      <c r="O990" s="5" t="s">
        <v>25</v>
      </c>
    </row>
    <row r="991" spans="1:15">
      <c r="A991" s="5" t="s">
        <v>15</v>
      </c>
      <c r="B991" s="5" t="str">
        <f>"FES1162740541"</f>
        <v>FES1162740541</v>
      </c>
      <c r="C991" s="5" t="s">
        <v>778</v>
      </c>
      <c r="D991" s="5">
        <v>1</v>
      </c>
      <c r="E991" s="5" t="str">
        <f>"2170732163"</f>
        <v>2170732163</v>
      </c>
      <c r="F991" s="5" t="s">
        <v>17</v>
      </c>
      <c r="G991" s="5" t="s">
        <v>18</v>
      </c>
      <c r="H991" s="5" t="s">
        <v>36</v>
      </c>
      <c r="I991" s="5" t="s">
        <v>37</v>
      </c>
      <c r="J991" s="5" t="s">
        <v>1053</v>
      </c>
      <c r="K991" s="5" t="s">
        <v>363</v>
      </c>
      <c r="L991" s="6">
        <v>0.375</v>
      </c>
      <c r="M991" s="5" t="s">
        <v>1054</v>
      </c>
      <c r="N991" s="5" t="s">
        <v>24</v>
      </c>
      <c r="O991" s="5" t="s">
        <v>25</v>
      </c>
    </row>
    <row r="992" spans="1:15">
      <c r="A992" s="5" t="s">
        <v>15</v>
      </c>
      <c r="B992" s="5" t="str">
        <f>"FES1162740558"</f>
        <v>FES1162740558</v>
      </c>
      <c r="C992" s="5" t="s">
        <v>778</v>
      </c>
      <c r="D992" s="5">
        <v>2</v>
      </c>
      <c r="E992" s="5" t="str">
        <f>"2170732179"</f>
        <v>2170732179</v>
      </c>
      <c r="F992" s="5" t="s">
        <v>17</v>
      </c>
      <c r="G992" s="5" t="s">
        <v>18</v>
      </c>
      <c r="H992" s="5" t="s">
        <v>100</v>
      </c>
      <c r="I992" s="5" t="s">
        <v>101</v>
      </c>
      <c r="J992" s="5" t="s">
        <v>125</v>
      </c>
      <c r="K992" s="5" t="s">
        <v>363</v>
      </c>
      <c r="L992" s="6">
        <v>0.30277777777777776</v>
      </c>
      <c r="M992" s="5" t="s">
        <v>1009</v>
      </c>
      <c r="N992" s="5" t="s">
        <v>24</v>
      </c>
      <c r="O992" s="5" t="s">
        <v>25</v>
      </c>
    </row>
    <row r="993" spans="1:15">
      <c r="A993" s="5" t="s">
        <v>15</v>
      </c>
      <c r="B993" s="5" t="str">
        <f>"FES1162740543"</f>
        <v>FES1162740543</v>
      </c>
      <c r="C993" s="5" t="s">
        <v>778</v>
      </c>
      <c r="D993" s="5">
        <v>1</v>
      </c>
      <c r="E993" s="5" t="str">
        <f>"2170732160"</f>
        <v>2170732160</v>
      </c>
      <c r="F993" s="5" t="s">
        <v>17</v>
      </c>
      <c r="G993" s="5" t="s">
        <v>18</v>
      </c>
      <c r="H993" s="5" t="s">
        <v>66</v>
      </c>
      <c r="I993" s="5" t="s">
        <v>67</v>
      </c>
      <c r="J993" s="5" t="s">
        <v>1055</v>
      </c>
      <c r="K993" s="5" t="s">
        <v>363</v>
      </c>
      <c r="L993" s="6">
        <v>0.4201388888888889</v>
      </c>
      <c r="M993" s="5" t="s">
        <v>1056</v>
      </c>
      <c r="N993" s="5" t="s">
        <v>24</v>
      </c>
      <c r="O993" s="5" t="s">
        <v>25</v>
      </c>
    </row>
    <row r="994" spans="1:15">
      <c r="A994" s="5" t="s">
        <v>15</v>
      </c>
      <c r="B994" s="5" t="str">
        <f>"FES1162740539"</f>
        <v>FES1162740539</v>
      </c>
      <c r="C994" s="5" t="s">
        <v>778</v>
      </c>
      <c r="D994" s="5">
        <v>1</v>
      </c>
      <c r="E994" s="5" t="str">
        <f>"217073064"</f>
        <v>217073064</v>
      </c>
      <c r="F994" s="5" t="s">
        <v>17</v>
      </c>
      <c r="G994" s="5" t="s">
        <v>18</v>
      </c>
      <c r="H994" s="5" t="s">
        <v>18</v>
      </c>
      <c r="I994" s="5" t="s">
        <v>171</v>
      </c>
      <c r="J994" s="5" t="s">
        <v>522</v>
      </c>
      <c r="K994" s="5" t="s">
        <v>363</v>
      </c>
      <c r="L994" s="6">
        <v>0.31458333333333333</v>
      </c>
      <c r="M994" s="5" t="s">
        <v>1057</v>
      </c>
      <c r="N994" s="5" t="s">
        <v>24</v>
      </c>
      <c r="O994" s="5" t="s">
        <v>25</v>
      </c>
    </row>
    <row r="995" spans="1:15">
      <c r="A995" s="5" t="s">
        <v>15</v>
      </c>
      <c r="B995" s="5" t="str">
        <f>"FES1162740566"</f>
        <v>FES1162740566</v>
      </c>
      <c r="C995" s="5" t="s">
        <v>778</v>
      </c>
      <c r="D995" s="5">
        <v>1</v>
      </c>
      <c r="E995" s="5" t="str">
        <f>"21707372187"</f>
        <v>21707372187</v>
      </c>
      <c r="F995" s="5" t="s">
        <v>17</v>
      </c>
      <c r="G995" s="5" t="s">
        <v>18</v>
      </c>
      <c r="H995" s="5" t="s">
        <v>66</v>
      </c>
      <c r="I995" s="5" t="s">
        <v>67</v>
      </c>
      <c r="J995" s="5" t="s">
        <v>1058</v>
      </c>
      <c r="K995" s="5" t="s">
        <v>363</v>
      </c>
      <c r="L995" s="6">
        <v>0.3659722222222222</v>
      </c>
      <c r="M995" s="5" t="s">
        <v>1059</v>
      </c>
      <c r="N995" s="5" t="s">
        <v>24</v>
      </c>
      <c r="O995" s="5" t="s">
        <v>25</v>
      </c>
    </row>
    <row r="996" spans="1:15">
      <c r="A996" s="5" t="s">
        <v>15</v>
      </c>
      <c r="B996" s="5" t="str">
        <f>"FES1162740576"</f>
        <v>FES1162740576</v>
      </c>
      <c r="C996" s="5" t="s">
        <v>778</v>
      </c>
      <c r="D996" s="5">
        <v>1</v>
      </c>
      <c r="E996" s="5" t="str">
        <f>"2170732195"</f>
        <v>2170732195</v>
      </c>
      <c r="F996" s="5" t="s">
        <v>17</v>
      </c>
      <c r="G996" s="5" t="s">
        <v>18</v>
      </c>
      <c r="H996" s="5" t="s">
        <v>18</v>
      </c>
      <c r="I996" s="5" t="s">
        <v>222</v>
      </c>
      <c r="J996" s="5" t="s">
        <v>716</v>
      </c>
      <c r="K996" s="5" t="s">
        <v>363</v>
      </c>
      <c r="L996" s="6">
        <v>0.43402777777777773</v>
      </c>
      <c r="M996" s="5" t="s">
        <v>723</v>
      </c>
      <c r="N996" s="5" t="s">
        <v>24</v>
      </c>
      <c r="O996" s="5" t="s">
        <v>25</v>
      </c>
    </row>
    <row r="997" spans="1:15">
      <c r="A997" s="3" t="s">
        <v>15</v>
      </c>
      <c r="B997" s="3" t="str">
        <f>"FES1162740582"</f>
        <v>FES1162740582</v>
      </c>
      <c r="C997" s="3" t="s">
        <v>778</v>
      </c>
      <c r="D997" s="3">
        <v>1</v>
      </c>
      <c r="E997" s="3" t="str">
        <f>"2170725711"</f>
        <v>2170725711</v>
      </c>
      <c r="F997" s="3" t="s">
        <v>17</v>
      </c>
      <c r="G997" s="3" t="s">
        <v>18</v>
      </c>
      <c r="H997" s="3" t="s">
        <v>19</v>
      </c>
      <c r="I997" s="3" t="s">
        <v>20</v>
      </c>
      <c r="J997" s="3" t="s">
        <v>957</v>
      </c>
      <c r="K997" s="3" t="s">
        <v>363</v>
      </c>
      <c r="L997" s="4">
        <v>0.35138888888888892</v>
      </c>
      <c r="M997" s="3" t="s">
        <v>1060</v>
      </c>
      <c r="N997" s="3" t="s">
        <v>24</v>
      </c>
      <c r="O997" s="3" t="s">
        <v>25</v>
      </c>
    </row>
    <row r="998" spans="1:15">
      <c r="A998" s="3" t="s">
        <v>15</v>
      </c>
      <c r="B998" s="3" t="str">
        <f>"FES1162740575"</f>
        <v>FES1162740575</v>
      </c>
      <c r="C998" s="3" t="s">
        <v>778</v>
      </c>
      <c r="D998" s="3">
        <v>1</v>
      </c>
      <c r="E998" s="3" t="str">
        <f>"2170732194"</f>
        <v>2170732194</v>
      </c>
      <c r="F998" s="3" t="s">
        <v>17</v>
      </c>
      <c r="G998" s="3" t="s">
        <v>18</v>
      </c>
      <c r="H998" s="3" t="s">
        <v>18</v>
      </c>
      <c r="I998" s="3" t="s">
        <v>222</v>
      </c>
      <c r="J998" s="3" t="s">
        <v>716</v>
      </c>
      <c r="K998" s="3" t="s">
        <v>363</v>
      </c>
      <c r="L998" s="4">
        <v>0.43402777777777773</v>
      </c>
      <c r="M998" s="3" t="s">
        <v>723</v>
      </c>
      <c r="N998" s="3" t="s">
        <v>24</v>
      </c>
      <c r="O998" s="3" t="s">
        <v>25</v>
      </c>
    </row>
    <row r="999" spans="1:15">
      <c r="A999" s="3" t="s">
        <v>15</v>
      </c>
      <c r="B999" s="3" t="str">
        <f>"009939640269"</f>
        <v>009939640269</v>
      </c>
      <c r="C999" s="3" t="s">
        <v>778</v>
      </c>
      <c r="D999" s="3">
        <v>1</v>
      </c>
      <c r="E999" s="3" t="str">
        <f>""</f>
        <v/>
      </c>
      <c r="F999" s="3" t="s">
        <v>528</v>
      </c>
      <c r="G999" s="3" t="s">
        <v>36</v>
      </c>
      <c r="H999" s="3" t="s">
        <v>18</v>
      </c>
      <c r="I999" s="3" t="s">
        <v>29</v>
      </c>
      <c r="J999" s="3" t="s">
        <v>529</v>
      </c>
      <c r="K999" s="3" t="s">
        <v>363</v>
      </c>
      <c r="L999" s="4">
        <v>0.35416666666666669</v>
      </c>
      <c r="M999" s="3" t="s">
        <v>777</v>
      </c>
      <c r="N999" s="3" t="s">
        <v>24</v>
      </c>
      <c r="O999" s="3" t="s">
        <v>25</v>
      </c>
    </row>
    <row r="1000" spans="1:15">
      <c r="A1000" s="3" t="s">
        <v>15</v>
      </c>
      <c r="B1000" s="3" t="str">
        <f>"FES1162740737"</f>
        <v>FES1162740737</v>
      </c>
      <c r="C1000" s="3" t="s">
        <v>363</v>
      </c>
      <c r="D1000" s="3">
        <v>1</v>
      </c>
      <c r="E1000" s="3" t="str">
        <f>"2170732128"</f>
        <v>2170732128</v>
      </c>
      <c r="F1000" s="3" t="s">
        <v>17</v>
      </c>
      <c r="G1000" s="3" t="s">
        <v>18</v>
      </c>
      <c r="H1000" s="3" t="s">
        <v>100</v>
      </c>
      <c r="I1000" s="3" t="s">
        <v>101</v>
      </c>
      <c r="J1000" s="3" t="s">
        <v>137</v>
      </c>
      <c r="K1000" s="3" t="s">
        <v>662</v>
      </c>
      <c r="L1000" s="4">
        <v>0.4375</v>
      </c>
      <c r="M1000" s="3" t="s">
        <v>371</v>
      </c>
      <c r="N1000" s="3" t="s">
        <v>24</v>
      </c>
      <c r="O1000" s="3" t="s">
        <v>25</v>
      </c>
    </row>
    <row r="1001" spans="1:15">
      <c r="A1001" s="3" t="s">
        <v>15</v>
      </c>
      <c r="B1001" s="3" t="str">
        <f>"FES1162740632"</f>
        <v>FES1162740632</v>
      </c>
      <c r="C1001" s="3" t="s">
        <v>363</v>
      </c>
      <c r="D1001" s="3">
        <v>1</v>
      </c>
      <c r="E1001" s="3" t="str">
        <f>"2170732275"</f>
        <v>2170732275</v>
      </c>
      <c r="F1001" s="3" t="s">
        <v>17</v>
      </c>
      <c r="G1001" s="3" t="s">
        <v>18</v>
      </c>
      <c r="H1001" s="3" t="s">
        <v>18</v>
      </c>
      <c r="I1001" s="3" t="s">
        <v>33</v>
      </c>
      <c r="J1001" s="3" t="s">
        <v>34</v>
      </c>
      <c r="K1001" s="3" t="s">
        <v>662</v>
      </c>
      <c r="L1001" s="4">
        <v>0.39513888888888887</v>
      </c>
      <c r="M1001" s="3" t="s">
        <v>444</v>
      </c>
      <c r="N1001" s="3" t="s">
        <v>24</v>
      </c>
      <c r="O1001" s="3" t="s">
        <v>25</v>
      </c>
    </row>
    <row r="1002" spans="1:15">
      <c r="A1002" s="3" t="s">
        <v>15</v>
      </c>
      <c r="B1002" s="3" t="str">
        <f>"FES1162740649"</f>
        <v>FES1162740649</v>
      </c>
      <c r="C1002" s="3" t="s">
        <v>363</v>
      </c>
      <c r="D1002" s="3">
        <v>1</v>
      </c>
      <c r="E1002" s="3" t="str">
        <f>"2170732292"</f>
        <v>2170732292</v>
      </c>
      <c r="F1002" s="3" t="s">
        <v>17</v>
      </c>
      <c r="G1002" s="3" t="s">
        <v>18</v>
      </c>
      <c r="H1002" s="3" t="s">
        <v>18</v>
      </c>
      <c r="I1002" s="3" t="s">
        <v>33</v>
      </c>
      <c r="J1002" s="3" t="s">
        <v>34</v>
      </c>
      <c r="K1002" s="3" t="s">
        <v>662</v>
      </c>
      <c r="L1002" s="4">
        <v>0.39583333333333331</v>
      </c>
      <c r="M1002" s="3" t="s">
        <v>35</v>
      </c>
      <c r="N1002" s="3" t="s">
        <v>24</v>
      </c>
      <c r="O1002" s="3" t="s">
        <v>25</v>
      </c>
    </row>
    <row r="1003" spans="1:15">
      <c r="A1003" s="3" t="s">
        <v>15</v>
      </c>
      <c r="B1003" s="3" t="str">
        <f>"FES1162740609"</f>
        <v>FES1162740609</v>
      </c>
      <c r="C1003" s="3" t="s">
        <v>363</v>
      </c>
      <c r="D1003" s="3">
        <v>1</v>
      </c>
      <c r="E1003" s="3" t="str">
        <f>"2170732236"</f>
        <v>2170732236</v>
      </c>
      <c r="F1003" s="3" t="s">
        <v>17</v>
      </c>
      <c r="G1003" s="3" t="s">
        <v>18</v>
      </c>
      <c r="H1003" s="3" t="s">
        <v>18</v>
      </c>
      <c r="I1003" s="3" t="s">
        <v>151</v>
      </c>
      <c r="J1003" s="3" t="s">
        <v>1061</v>
      </c>
      <c r="K1003" s="3" t="s">
        <v>662</v>
      </c>
      <c r="L1003" s="4">
        <v>0.33333333333333331</v>
      </c>
      <c r="M1003" s="3" t="s">
        <v>1062</v>
      </c>
      <c r="N1003" s="3" t="s">
        <v>24</v>
      </c>
      <c r="O1003" s="3" t="s">
        <v>25</v>
      </c>
    </row>
    <row r="1004" spans="1:15">
      <c r="A1004" s="3" t="s">
        <v>15</v>
      </c>
      <c r="B1004" s="3" t="str">
        <f>"FES1162740591"</f>
        <v>FES1162740591</v>
      </c>
      <c r="C1004" s="3" t="s">
        <v>363</v>
      </c>
      <c r="D1004" s="3">
        <v>1</v>
      </c>
      <c r="E1004" s="3" t="str">
        <f>"2170731088"</f>
        <v>2170731088</v>
      </c>
      <c r="F1004" s="3" t="s">
        <v>17</v>
      </c>
      <c r="G1004" s="3" t="s">
        <v>18</v>
      </c>
      <c r="H1004" s="3" t="s">
        <v>18</v>
      </c>
      <c r="I1004" s="3" t="s">
        <v>171</v>
      </c>
      <c r="J1004" s="3" t="s">
        <v>884</v>
      </c>
      <c r="K1004" s="3" t="s">
        <v>662</v>
      </c>
      <c r="L1004" s="4">
        <v>0.28541666666666665</v>
      </c>
      <c r="M1004" s="3" t="s">
        <v>1063</v>
      </c>
      <c r="N1004" s="3" t="s">
        <v>24</v>
      </c>
      <c r="O1004" s="3" t="s">
        <v>25</v>
      </c>
    </row>
    <row r="1005" spans="1:15">
      <c r="A1005" s="3" t="s">
        <v>15</v>
      </c>
      <c r="B1005" s="3" t="str">
        <f>"FES1162740626"</f>
        <v>FES1162740626</v>
      </c>
      <c r="C1005" s="3" t="s">
        <v>363</v>
      </c>
      <c r="D1005" s="3">
        <v>1</v>
      </c>
      <c r="E1005" s="3" t="str">
        <f>"2170732269"</f>
        <v>2170732269</v>
      </c>
      <c r="F1005" s="3" t="s">
        <v>17</v>
      </c>
      <c r="G1005" s="3" t="s">
        <v>18</v>
      </c>
      <c r="H1005" s="3" t="s">
        <v>18</v>
      </c>
      <c r="I1005" s="3" t="s">
        <v>338</v>
      </c>
      <c r="J1005" s="3" t="s">
        <v>1064</v>
      </c>
      <c r="K1005" s="3" t="s">
        <v>662</v>
      </c>
      <c r="L1005" s="4">
        <v>0.38125000000000003</v>
      </c>
      <c r="M1005" s="3" t="s">
        <v>1065</v>
      </c>
      <c r="N1005" s="3" t="s">
        <v>24</v>
      </c>
      <c r="O1005" s="3" t="s">
        <v>25</v>
      </c>
    </row>
    <row r="1006" spans="1:15">
      <c r="A1006" s="3" t="s">
        <v>15</v>
      </c>
      <c r="B1006" s="3" t="str">
        <f>"FES1162740618"</f>
        <v>FES1162740618</v>
      </c>
      <c r="C1006" s="3" t="s">
        <v>363</v>
      </c>
      <c r="D1006" s="3">
        <v>1</v>
      </c>
      <c r="E1006" s="3" t="str">
        <f>"2170732260"</f>
        <v>2170732260</v>
      </c>
      <c r="F1006" s="3" t="s">
        <v>17</v>
      </c>
      <c r="G1006" s="3" t="s">
        <v>18</v>
      </c>
      <c r="H1006" s="3" t="s">
        <v>100</v>
      </c>
      <c r="I1006" s="3" t="s">
        <v>101</v>
      </c>
      <c r="J1006" s="3" t="s">
        <v>894</v>
      </c>
      <c r="K1006" s="3" t="s">
        <v>662</v>
      </c>
      <c r="L1006" s="4">
        <v>0.36319444444444443</v>
      </c>
      <c r="M1006" s="3" t="s">
        <v>895</v>
      </c>
      <c r="N1006" s="3" t="s">
        <v>24</v>
      </c>
      <c r="O1006" s="3" t="s">
        <v>25</v>
      </c>
    </row>
    <row r="1007" spans="1:15">
      <c r="A1007" s="3" t="s">
        <v>15</v>
      </c>
      <c r="B1007" s="3" t="str">
        <f>"R009935712238"</f>
        <v>R009935712238</v>
      </c>
      <c r="C1007" s="3" t="s">
        <v>363</v>
      </c>
      <c r="D1007" s="3">
        <v>1</v>
      </c>
      <c r="E1007" s="3" t="str">
        <f>"1162735986"</f>
        <v>1162735986</v>
      </c>
      <c r="F1007" s="3" t="s">
        <v>17</v>
      </c>
      <c r="G1007" s="3" t="s">
        <v>18</v>
      </c>
      <c r="H1007" s="3" t="s">
        <v>18</v>
      </c>
      <c r="I1007" s="3" t="s">
        <v>29</v>
      </c>
      <c r="J1007" s="3" t="s">
        <v>30</v>
      </c>
      <c r="K1007" s="3" t="s">
        <v>662</v>
      </c>
      <c r="L1007" s="4">
        <v>0.34097222222222223</v>
      </c>
      <c r="M1007" s="3" t="s">
        <v>31</v>
      </c>
      <c r="N1007" s="3" t="s">
        <v>24</v>
      </c>
      <c r="O1007" s="3" t="s">
        <v>877</v>
      </c>
    </row>
    <row r="1008" spans="1:15">
      <c r="A1008" s="3" t="s">
        <v>15</v>
      </c>
      <c r="B1008" s="3" t="str">
        <f>"FES1162740572"</f>
        <v>FES1162740572</v>
      </c>
      <c r="C1008" s="3" t="s">
        <v>363</v>
      </c>
      <c r="D1008" s="3">
        <v>1</v>
      </c>
      <c r="E1008" s="3" t="str">
        <f>"2170731885"</f>
        <v>2170731885</v>
      </c>
      <c r="F1008" s="3" t="s">
        <v>17</v>
      </c>
      <c r="G1008" s="3" t="s">
        <v>18</v>
      </c>
      <c r="H1008" s="3" t="s">
        <v>18</v>
      </c>
      <c r="I1008" s="3" t="s">
        <v>222</v>
      </c>
      <c r="J1008" s="3" t="s">
        <v>397</v>
      </c>
      <c r="K1008" s="3" t="s">
        <v>662</v>
      </c>
      <c r="L1008" s="4">
        <v>0.3888888888888889</v>
      </c>
      <c r="M1008" s="3" t="s">
        <v>1066</v>
      </c>
      <c r="N1008" s="3" t="s">
        <v>24</v>
      </c>
      <c r="O1008" s="3" t="s">
        <v>25</v>
      </c>
    </row>
    <row r="1009" spans="1:15">
      <c r="A1009" s="3" t="s">
        <v>15</v>
      </c>
      <c r="B1009" s="3" t="str">
        <f>"FES1162740725"</f>
        <v>FES1162740725</v>
      </c>
      <c r="C1009" s="3" t="s">
        <v>363</v>
      </c>
      <c r="D1009" s="3">
        <v>1</v>
      </c>
      <c r="E1009" s="3" t="str">
        <f>"217072373"</f>
        <v>217072373</v>
      </c>
      <c r="F1009" s="3" t="s">
        <v>17</v>
      </c>
      <c r="G1009" s="3" t="s">
        <v>18</v>
      </c>
      <c r="H1009" s="3" t="s">
        <v>66</v>
      </c>
      <c r="I1009" s="3" t="s">
        <v>67</v>
      </c>
      <c r="J1009" s="3" t="s">
        <v>368</v>
      </c>
      <c r="K1009" s="3" t="s">
        <v>662</v>
      </c>
      <c r="L1009" s="4">
        <v>0.36180555555555555</v>
      </c>
      <c r="M1009" s="3" t="s">
        <v>232</v>
      </c>
      <c r="N1009" s="3" t="s">
        <v>24</v>
      </c>
      <c r="O1009" s="3" t="s">
        <v>25</v>
      </c>
    </row>
    <row r="1010" spans="1:15">
      <c r="A1010" s="3" t="s">
        <v>15</v>
      </c>
      <c r="B1010" s="3" t="str">
        <f>"FES1162740601"</f>
        <v>FES1162740601</v>
      </c>
      <c r="C1010" s="3" t="s">
        <v>363</v>
      </c>
      <c r="D1010" s="3">
        <v>1</v>
      </c>
      <c r="E1010" s="3" t="str">
        <f>"2170732221"</f>
        <v>2170732221</v>
      </c>
      <c r="F1010" s="3" t="s">
        <v>17</v>
      </c>
      <c r="G1010" s="3" t="s">
        <v>18</v>
      </c>
      <c r="H1010" s="3" t="s">
        <v>70</v>
      </c>
      <c r="I1010" s="3" t="s">
        <v>71</v>
      </c>
      <c r="J1010" s="3" t="s">
        <v>976</v>
      </c>
      <c r="K1010" s="3" t="s">
        <v>662</v>
      </c>
      <c r="L1010" s="4">
        <v>0.35000000000000003</v>
      </c>
      <c r="M1010" s="3" t="s">
        <v>1067</v>
      </c>
      <c r="N1010" s="3" t="s">
        <v>24</v>
      </c>
      <c r="O1010" s="3" t="s">
        <v>25</v>
      </c>
    </row>
    <row r="1011" spans="1:15">
      <c r="A1011" s="3" t="s">
        <v>15</v>
      </c>
      <c r="B1011" s="3" t="str">
        <f>"FES1162740559"</f>
        <v>FES1162740559</v>
      </c>
      <c r="C1011" s="3" t="s">
        <v>363</v>
      </c>
      <c r="D1011" s="3">
        <v>1</v>
      </c>
      <c r="E1011" s="3" t="str">
        <f>"2170734011"</f>
        <v>2170734011</v>
      </c>
      <c r="F1011" s="3" t="s">
        <v>17</v>
      </c>
      <c r="G1011" s="3" t="s">
        <v>18</v>
      </c>
      <c r="H1011" s="3" t="s">
        <v>36</v>
      </c>
      <c r="I1011" s="3" t="s">
        <v>37</v>
      </c>
      <c r="J1011" s="3" t="s">
        <v>113</v>
      </c>
      <c r="K1011" s="3" t="s">
        <v>662</v>
      </c>
      <c r="L1011" s="4">
        <v>0.4145833333333333</v>
      </c>
      <c r="M1011" s="3" t="s">
        <v>1068</v>
      </c>
      <c r="N1011" s="3" t="s">
        <v>24</v>
      </c>
      <c r="O1011" s="3" t="s">
        <v>25</v>
      </c>
    </row>
    <row r="1012" spans="1:15">
      <c r="A1012" s="3" t="s">
        <v>15</v>
      </c>
      <c r="B1012" s="3" t="str">
        <f>"FES1162740640"</f>
        <v>FES1162740640</v>
      </c>
      <c r="C1012" s="3" t="s">
        <v>363</v>
      </c>
      <c r="D1012" s="3">
        <v>1</v>
      </c>
      <c r="E1012" s="3" t="str">
        <f>"2170732268"</f>
        <v>2170732268</v>
      </c>
      <c r="F1012" s="3" t="s">
        <v>17</v>
      </c>
      <c r="G1012" s="3" t="s">
        <v>18</v>
      </c>
      <c r="H1012" s="3" t="s">
        <v>1069</v>
      </c>
      <c r="I1012" s="3" t="s">
        <v>1070</v>
      </c>
      <c r="J1012" s="3" t="s">
        <v>1071</v>
      </c>
      <c r="K1012" s="3" t="s">
        <v>662</v>
      </c>
      <c r="L1012" s="4">
        <v>0.37083333333333335</v>
      </c>
      <c r="M1012" s="3" t="s">
        <v>1072</v>
      </c>
      <c r="N1012" s="3" t="s">
        <v>24</v>
      </c>
      <c r="O1012" s="3" t="s">
        <v>25</v>
      </c>
    </row>
    <row r="1013" spans="1:15">
      <c r="A1013" s="3" t="s">
        <v>15</v>
      </c>
      <c r="B1013" s="3" t="str">
        <f>"FES1162740603"</f>
        <v>FES1162740603</v>
      </c>
      <c r="C1013" s="3" t="s">
        <v>363</v>
      </c>
      <c r="D1013" s="3">
        <v>1</v>
      </c>
      <c r="E1013" s="3" t="str">
        <f>"2170732224"</f>
        <v>2170732224</v>
      </c>
      <c r="F1013" s="3" t="s">
        <v>17</v>
      </c>
      <c r="G1013" s="3" t="s">
        <v>18</v>
      </c>
      <c r="H1013" s="3" t="s">
        <v>46</v>
      </c>
      <c r="I1013" s="3" t="s">
        <v>1073</v>
      </c>
      <c r="J1013" s="3" t="s">
        <v>1074</v>
      </c>
      <c r="K1013" s="3" t="s">
        <v>662</v>
      </c>
      <c r="L1013" s="4">
        <v>0.41666666666666669</v>
      </c>
      <c r="M1013" s="3" t="s">
        <v>1075</v>
      </c>
      <c r="N1013" s="3" t="s">
        <v>24</v>
      </c>
      <c r="O1013" s="3" t="s">
        <v>25</v>
      </c>
    </row>
    <row r="1014" spans="1:15">
      <c r="A1014" s="3" t="s">
        <v>15</v>
      </c>
      <c r="B1014" s="3" t="str">
        <f>"FES1162740574"</f>
        <v>FES1162740574</v>
      </c>
      <c r="C1014" s="3" t="s">
        <v>363</v>
      </c>
      <c r="D1014" s="3">
        <v>1</v>
      </c>
      <c r="E1014" s="3" t="str">
        <f>"2170732011"</f>
        <v>2170732011</v>
      </c>
      <c r="F1014" s="3" t="s">
        <v>17</v>
      </c>
      <c r="G1014" s="3" t="s">
        <v>18</v>
      </c>
      <c r="H1014" s="3" t="s">
        <v>36</v>
      </c>
      <c r="I1014" s="3" t="s">
        <v>37</v>
      </c>
      <c r="J1014" s="3" t="s">
        <v>902</v>
      </c>
      <c r="K1014" s="3" t="s">
        <v>662</v>
      </c>
      <c r="L1014" s="4">
        <v>0.40625</v>
      </c>
      <c r="M1014" s="3" t="s">
        <v>1076</v>
      </c>
      <c r="N1014" s="3" t="s">
        <v>24</v>
      </c>
      <c r="O1014" s="3" t="s">
        <v>25</v>
      </c>
    </row>
    <row r="1015" spans="1:15">
      <c r="A1015" s="3" t="s">
        <v>15</v>
      </c>
      <c r="B1015" s="3" t="str">
        <f>"FES1162740563"</f>
        <v>FES1162740563</v>
      </c>
      <c r="C1015" s="3" t="s">
        <v>363</v>
      </c>
      <c r="D1015" s="3">
        <v>1</v>
      </c>
      <c r="E1015" s="3" t="str">
        <f>"2170732184"</f>
        <v>2170732184</v>
      </c>
      <c r="F1015" s="3" t="s">
        <v>17</v>
      </c>
      <c r="G1015" s="3" t="s">
        <v>18</v>
      </c>
      <c r="H1015" s="3" t="s">
        <v>46</v>
      </c>
      <c r="I1015" s="3" t="s">
        <v>1073</v>
      </c>
      <c r="J1015" s="3" t="s">
        <v>1077</v>
      </c>
      <c r="K1015" s="3" t="s">
        <v>1042</v>
      </c>
      <c r="L1015" s="4">
        <v>0.51944444444444449</v>
      </c>
      <c r="M1015" s="3" t="s">
        <v>1078</v>
      </c>
      <c r="N1015" s="3" t="s">
        <v>24</v>
      </c>
      <c r="O1015" s="3" t="s">
        <v>25</v>
      </c>
    </row>
    <row r="1016" spans="1:15">
      <c r="A1016" s="5" t="s">
        <v>15</v>
      </c>
      <c r="B1016" s="5" t="str">
        <f>"FES1162740614"</f>
        <v>FES1162740614</v>
      </c>
      <c r="C1016" s="5" t="s">
        <v>363</v>
      </c>
      <c r="D1016" s="5">
        <v>1</v>
      </c>
      <c r="E1016" s="5" t="str">
        <f>"2170732249"</f>
        <v>2170732249</v>
      </c>
      <c r="F1016" s="5" t="s">
        <v>17</v>
      </c>
      <c r="G1016" s="5" t="s">
        <v>18</v>
      </c>
      <c r="H1016" s="5" t="s">
        <v>66</v>
      </c>
      <c r="I1016" s="5" t="s">
        <v>67</v>
      </c>
      <c r="J1016" s="5" t="s">
        <v>287</v>
      </c>
      <c r="K1016" s="5" t="s">
        <v>662</v>
      </c>
      <c r="L1016" s="6">
        <v>0.3520833333333333</v>
      </c>
      <c r="M1016" s="5" t="s">
        <v>787</v>
      </c>
      <c r="N1016" s="5" t="s">
        <v>24</v>
      </c>
      <c r="O1016" s="5" t="s">
        <v>25</v>
      </c>
    </row>
    <row r="1017" spans="1:15">
      <c r="A1017" s="5" t="s">
        <v>15</v>
      </c>
      <c r="B1017" s="5" t="str">
        <f>"FES1162740605"</f>
        <v>FES1162740605</v>
      </c>
      <c r="C1017" s="5" t="s">
        <v>363</v>
      </c>
      <c r="D1017" s="5">
        <v>1</v>
      </c>
      <c r="E1017" s="5" t="str">
        <f>"2170732228"</f>
        <v>2170732228</v>
      </c>
      <c r="F1017" s="5" t="s">
        <v>17</v>
      </c>
      <c r="G1017" s="5" t="s">
        <v>18</v>
      </c>
      <c r="H1017" s="5" t="s">
        <v>534</v>
      </c>
      <c r="I1017" s="5" t="s">
        <v>596</v>
      </c>
      <c r="J1017" s="5" t="s">
        <v>1079</v>
      </c>
      <c r="K1017" s="5" t="s">
        <v>662</v>
      </c>
      <c r="L1017" s="6">
        <v>0.39583333333333331</v>
      </c>
      <c r="M1017" s="5" t="s">
        <v>1080</v>
      </c>
      <c r="N1017" s="5" t="s">
        <v>24</v>
      </c>
      <c r="O1017" s="5" t="s">
        <v>25</v>
      </c>
    </row>
    <row r="1018" spans="1:15">
      <c r="A1018" s="5" t="s">
        <v>15</v>
      </c>
      <c r="B1018" s="5" t="str">
        <f>"FES1162740570"</f>
        <v>FES1162740570</v>
      </c>
      <c r="C1018" s="5" t="s">
        <v>363</v>
      </c>
      <c r="D1018" s="5">
        <v>1</v>
      </c>
      <c r="E1018" s="5" t="str">
        <f>"2170730944+ +"</f>
        <v>2170730944+ +</v>
      </c>
      <c r="F1018" s="5" t="s">
        <v>17</v>
      </c>
      <c r="G1018" s="5" t="s">
        <v>18</v>
      </c>
      <c r="H1018" s="5" t="s">
        <v>36</v>
      </c>
      <c r="I1018" s="5" t="s">
        <v>37</v>
      </c>
      <c r="J1018" s="5" t="s">
        <v>38</v>
      </c>
      <c r="K1018" s="5" t="s">
        <v>662</v>
      </c>
      <c r="L1018" s="6">
        <v>0.55902777777777779</v>
      </c>
      <c r="M1018" s="5" t="s">
        <v>1081</v>
      </c>
      <c r="N1018" s="5" t="s">
        <v>24</v>
      </c>
      <c r="O1018" s="5" t="s">
        <v>25</v>
      </c>
    </row>
    <row r="1019" spans="1:15">
      <c r="A1019" s="5" t="s">
        <v>15</v>
      </c>
      <c r="B1019" s="5" t="str">
        <f>"FES1162740593"</f>
        <v>FES1162740593</v>
      </c>
      <c r="C1019" s="5" t="s">
        <v>363</v>
      </c>
      <c r="D1019" s="5">
        <v>1</v>
      </c>
      <c r="E1019" s="5" t="str">
        <f>"2170732209"</f>
        <v>2170732209</v>
      </c>
      <c r="F1019" s="5" t="s">
        <v>17</v>
      </c>
      <c r="G1019" s="5" t="s">
        <v>18</v>
      </c>
      <c r="H1019" s="5" t="s">
        <v>19</v>
      </c>
      <c r="I1019" s="5" t="s">
        <v>20</v>
      </c>
      <c r="J1019" s="5" t="s">
        <v>56</v>
      </c>
      <c r="K1019" s="5" t="s">
        <v>662</v>
      </c>
      <c r="L1019" s="6">
        <v>0.35347222222222219</v>
      </c>
      <c r="M1019" s="5" t="s">
        <v>57</v>
      </c>
      <c r="N1019" s="5" t="s">
        <v>24</v>
      </c>
      <c r="O1019" s="5" t="s">
        <v>25</v>
      </c>
    </row>
    <row r="1020" spans="1:15">
      <c r="A1020" s="5" t="s">
        <v>15</v>
      </c>
      <c r="B1020" s="5" t="str">
        <f>"FES1162740627"</f>
        <v>FES1162740627</v>
      </c>
      <c r="C1020" s="5" t="s">
        <v>363</v>
      </c>
      <c r="D1020" s="5">
        <v>1</v>
      </c>
      <c r="E1020" s="5" t="str">
        <f>"2170732270"</f>
        <v>2170732270</v>
      </c>
      <c r="F1020" s="5" t="s">
        <v>17</v>
      </c>
      <c r="G1020" s="5" t="s">
        <v>18</v>
      </c>
      <c r="H1020" s="5" t="s">
        <v>886</v>
      </c>
      <c r="I1020" s="5" t="s">
        <v>887</v>
      </c>
      <c r="J1020" s="5" t="s">
        <v>888</v>
      </c>
      <c r="K1020" s="5" t="s">
        <v>662</v>
      </c>
      <c r="L1020" s="6">
        <v>0.35347222222222219</v>
      </c>
      <c r="M1020" s="5" t="s">
        <v>888</v>
      </c>
      <c r="N1020" s="5" t="s">
        <v>24</v>
      </c>
      <c r="O1020" s="5" t="s">
        <v>1082</v>
      </c>
    </row>
    <row r="1021" spans="1:15">
      <c r="A1021" s="5" t="s">
        <v>15</v>
      </c>
      <c r="B1021" s="5" t="str">
        <f>"FES1162740596"</f>
        <v>FES1162740596</v>
      </c>
      <c r="C1021" s="5" t="s">
        <v>363</v>
      </c>
      <c r="D1021" s="5">
        <v>1</v>
      </c>
      <c r="E1021" s="5" t="str">
        <f>"21707322147"</f>
        <v>21707322147</v>
      </c>
      <c r="F1021" s="5" t="s">
        <v>17</v>
      </c>
      <c r="G1021" s="5" t="s">
        <v>18</v>
      </c>
      <c r="H1021" s="5" t="s">
        <v>19</v>
      </c>
      <c r="I1021" s="5" t="s">
        <v>20</v>
      </c>
      <c r="J1021" s="5" t="s">
        <v>56</v>
      </c>
      <c r="K1021" s="5" t="s">
        <v>662</v>
      </c>
      <c r="L1021" s="6">
        <v>0.35347222222222219</v>
      </c>
      <c r="M1021" s="5" t="s">
        <v>57</v>
      </c>
      <c r="N1021" s="5" t="s">
        <v>24</v>
      </c>
      <c r="O1021" s="5" t="s">
        <v>25</v>
      </c>
    </row>
    <row r="1022" spans="1:15">
      <c r="A1022" s="5" t="s">
        <v>15</v>
      </c>
      <c r="B1022" s="5" t="str">
        <f>"FES1162740637"</f>
        <v>FES1162740637</v>
      </c>
      <c r="C1022" s="5" t="s">
        <v>363</v>
      </c>
      <c r="D1022" s="5">
        <v>1</v>
      </c>
      <c r="E1022" s="5" t="str">
        <f>"2170731731"</f>
        <v>2170731731</v>
      </c>
      <c r="F1022" s="5" t="s">
        <v>17</v>
      </c>
      <c r="G1022" s="5" t="s">
        <v>18</v>
      </c>
      <c r="H1022" s="5" t="s">
        <v>19</v>
      </c>
      <c r="I1022" s="5" t="s">
        <v>51</v>
      </c>
      <c r="J1022" s="5" t="s">
        <v>1083</v>
      </c>
      <c r="K1022" s="5" t="s">
        <v>662</v>
      </c>
      <c r="L1022" s="6">
        <v>0.3125</v>
      </c>
      <c r="M1022" s="5" t="s">
        <v>1084</v>
      </c>
      <c r="N1022" s="5" t="s">
        <v>24</v>
      </c>
      <c r="O1022" s="5" t="s">
        <v>25</v>
      </c>
    </row>
    <row r="1023" spans="1:15">
      <c r="A1023" s="5" t="s">
        <v>15</v>
      </c>
      <c r="B1023" s="5" t="str">
        <f>"FES1162740588"</f>
        <v>FES1162740588</v>
      </c>
      <c r="C1023" s="5" t="s">
        <v>363</v>
      </c>
      <c r="D1023" s="5">
        <v>1</v>
      </c>
      <c r="E1023" s="5" t="str">
        <f>"2170730400"</f>
        <v>2170730400</v>
      </c>
      <c r="F1023" s="5" t="s">
        <v>17</v>
      </c>
      <c r="G1023" s="5" t="s">
        <v>18</v>
      </c>
      <c r="H1023" s="5" t="s">
        <v>70</v>
      </c>
      <c r="I1023" s="5" t="s">
        <v>708</v>
      </c>
      <c r="J1023" s="5" t="s">
        <v>709</v>
      </c>
      <c r="K1023" s="5" t="s">
        <v>662</v>
      </c>
      <c r="L1023" s="6">
        <v>0.6</v>
      </c>
      <c r="M1023" s="5" t="s">
        <v>710</v>
      </c>
      <c r="N1023" s="5" t="s">
        <v>24</v>
      </c>
      <c r="O1023" s="5" t="s">
        <v>25</v>
      </c>
    </row>
    <row r="1024" spans="1:15">
      <c r="A1024" s="5" t="s">
        <v>15</v>
      </c>
      <c r="B1024" s="5" t="str">
        <f>"FES1162740577"</f>
        <v>FES1162740577</v>
      </c>
      <c r="C1024" s="5" t="s">
        <v>363</v>
      </c>
      <c r="D1024" s="5">
        <v>1</v>
      </c>
      <c r="E1024" s="5" t="str">
        <f>"2170732197"</f>
        <v>2170732197</v>
      </c>
      <c r="F1024" s="5" t="s">
        <v>17</v>
      </c>
      <c r="G1024" s="5" t="s">
        <v>18</v>
      </c>
      <c r="H1024" s="5" t="s">
        <v>66</v>
      </c>
      <c r="I1024" s="5" t="s">
        <v>67</v>
      </c>
      <c r="J1024" s="5" t="s">
        <v>325</v>
      </c>
      <c r="K1024" s="5" t="s">
        <v>662</v>
      </c>
      <c r="L1024" s="6">
        <v>0.34027777777777773</v>
      </c>
      <c r="M1024" s="5" t="s">
        <v>1085</v>
      </c>
      <c r="N1024" s="5" t="s">
        <v>24</v>
      </c>
      <c r="O1024" s="5" t="s">
        <v>25</v>
      </c>
    </row>
    <row r="1025" spans="1:15">
      <c r="A1025" s="5" t="s">
        <v>15</v>
      </c>
      <c r="B1025" s="5" t="str">
        <f>"FES1162740635"</f>
        <v>FES1162740635</v>
      </c>
      <c r="C1025" s="5" t="s">
        <v>363</v>
      </c>
      <c r="D1025" s="5">
        <v>1</v>
      </c>
      <c r="E1025" s="5" t="str">
        <f>"21707322783"</f>
        <v>21707322783</v>
      </c>
      <c r="F1025" s="5" t="s">
        <v>17</v>
      </c>
      <c r="G1025" s="5" t="s">
        <v>18</v>
      </c>
      <c r="H1025" s="5" t="s">
        <v>46</v>
      </c>
      <c r="I1025" s="5" t="s">
        <v>47</v>
      </c>
      <c r="J1025" s="5" t="s">
        <v>62</v>
      </c>
      <c r="K1025" s="5" t="s">
        <v>662</v>
      </c>
      <c r="L1025" s="6">
        <v>0.43402777777777773</v>
      </c>
      <c r="M1025" s="5" t="s">
        <v>63</v>
      </c>
      <c r="N1025" s="5" t="s">
        <v>24</v>
      </c>
      <c r="O1025" s="5" t="s">
        <v>25</v>
      </c>
    </row>
    <row r="1026" spans="1:15">
      <c r="A1026" s="3" t="s">
        <v>15</v>
      </c>
      <c r="B1026" s="3" t="str">
        <f>"FES1162740620"</f>
        <v>FES1162740620</v>
      </c>
      <c r="C1026" s="3" t="s">
        <v>363</v>
      </c>
      <c r="D1026" s="3">
        <v>1</v>
      </c>
      <c r="E1026" s="3" t="str">
        <f>"2170732262"</f>
        <v>2170732262</v>
      </c>
      <c r="F1026" s="3" t="s">
        <v>17</v>
      </c>
      <c r="G1026" s="3" t="s">
        <v>18</v>
      </c>
      <c r="H1026" s="3" t="s">
        <v>66</v>
      </c>
      <c r="I1026" s="3" t="s">
        <v>67</v>
      </c>
      <c r="J1026" s="3" t="s">
        <v>1086</v>
      </c>
      <c r="K1026" s="3" t="s">
        <v>662</v>
      </c>
      <c r="L1026" s="4">
        <v>0.39583333333333331</v>
      </c>
      <c r="M1026" s="3" t="s">
        <v>1087</v>
      </c>
      <c r="N1026" s="3" t="s">
        <v>24</v>
      </c>
      <c r="O1026" s="3" t="s">
        <v>25</v>
      </c>
    </row>
    <row r="1027" spans="1:15">
      <c r="A1027" s="3" t="s">
        <v>15</v>
      </c>
      <c r="B1027" s="3" t="str">
        <f>"FES1162740624"</f>
        <v>FES1162740624</v>
      </c>
      <c r="C1027" s="3" t="s">
        <v>363</v>
      </c>
      <c r="D1027" s="3">
        <v>1</v>
      </c>
      <c r="E1027" s="3" t="str">
        <f>"2170732265"</f>
        <v>2170732265</v>
      </c>
      <c r="F1027" s="3" t="s">
        <v>17</v>
      </c>
      <c r="G1027" s="3" t="s">
        <v>18</v>
      </c>
      <c r="H1027" s="3" t="s">
        <v>36</v>
      </c>
      <c r="I1027" s="3" t="s">
        <v>37</v>
      </c>
      <c r="J1027" s="3" t="s">
        <v>1088</v>
      </c>
      <c r="K1027" s="3" t="s">
        <v>1042</v>
      </c>
      <c r="L1027" s="3" t="s">
        <v>622</v>
      </c>
      <c r="M1027" s="3" t="s">
        <v>1089</v>
      </c>
      <c r="N1027" s="3" t="s">
        <v>24</v>
      </c>
      <c r="O1027" s="3" t="s">
        <v>25</v>
      </c>
    </row>
    <row r="1028" spans="1:15">
      <c r="A1028" s="5" t="s">
        <v>15</v>
      </c>
      <c r="B1028" s="5" t="str">
        <f>"FES1162740615"</f>
        <v>FES1162740615</v>
      </c>
      <c r="C1028" s="5" t="s">
        <v>363</v>
      </c>
      <c r="D1028" s="5">
        <v>1</v>
      </c>
      <c r="E1028" s="5" t="str">
        <f>"2170732251"</f>
        <v>2170732251</v>
      </c>
      <c r="F1028" s="5" t="s">
        <v>17</v>
      </c>
      <c r="G1028" s="5" t="s">
        <v>18</v>
      </c>
      <c r="H1028" s="5" t="s">
        <v>19</v>
      </c>
      <c r="I1028" s="5" t="s">
        <v>95</v>
      </c>
      <c r="J1028" s="5" t="s">
        <v>96</v>
      </c>
      <c r="K1028" s="5" t="s">
        <v>662</v>
      </c>
      <c r="L1028" s="6">
        <v>0.48194444444444445</v>
      </c>
      <c r="M1028" s="5" t="s">
        <v>97</v>
      </c>
      <c r="N1028" s="5" t="s">
        <v>24</v>
      </c>
      <c r="O1028" s="5" t="s">
        <v>25</v>
      </c>
    </row>
    <row r="1029" spans="1:15">
      <c r="A1029" s="5" t="s">
        <v>15</v>
      </c>
      <c r="B1029" s="5" t="str">
        <f>"FES1162740679"</f>
        <v>FES1162740679</v>
      </c>
      <c r="C1029" s="5" t="s">
        <v>363</v>
      </c>
      <c r="D1029" s="5">
        <v>1</v>
      </c>
      <c r="E1029" s="5" t="str">
        <f>"2170732325"</f>
        <v>2170732325</v>
      </c>
      <c r="F1029" s="5" t="s">
        <v>17</v>
      </c>
      <c r="G1029" s="5" t="s">
        <v>18</v>
      </c>
      <c r="H1029" s="5" t="s">
        <v>215</v>
      </c>
      <c r="I1029" s="5" t="s">
        <v>1090</v>
      </c>
      <c r="J1029" s="5" t="s">
        <v>1091</v>
      </c>
      <c r="K1029" s="5" t="s">
        <v>662</v>
      </c>
      <c r="L1029" s="6">
        <v>0.43611111111111112</v>
      </c>
      <c r="M1029" s="5" t="s">
        <v>1092</v>
      </c>
      <c r="N1029" s="5" t="s">
        <v>24</v>
      </c>
      <c r="O1029" s="5" t="s">
        <v>25</v>
      </c>
    </row>
    <row r="1030" spans="1:15">
      <c r="A1030" s="5" t="s">
        <v>15</v>
      </c>
      <c r="B1030" s="5" t="str">
        <f>"FES1162740587"</f>
        <v>FES1162740587</v>
      </c>
      <c r="C1030" s="5" t="s">
        <v>363</v>
      </c>
      <c r="D1030" s="5">
        <v>1</v>
      </c>
      <c r="E1030" s="5" t="str">
        <f>"2170730294"</f>
        <v>2170730294</v>
      </c>
      <c r="F1030" s="5" t="s">
        <v>17</v>
      </c>
      <c r="G1030" s="5" t="s">
        <v>18</v>
      </c>
      <c r="H1030" s="5" t="s">
        <v>18</v>
      </c>
      <c r="I1030" s="5" t="s">
        <v>206</v>
      </c>
      <c r="J1030" s="5" t="s">
        <v>399</v>
      </c>
      <c r="K1030" s="5" t="s">
        <v>662</v>
      </c>
      <c r="L1030" s="6">
        <v>0.43611111111111112</v>
      </c>
      <c r="M1030" s="5" t="s">
        <v>1093</v>
      </c>
      <c r="N1030" s="5" t="s">
        <v>24</v>
      </c>
      <c r="O1030" s="5" t="s">
        <v>601</v>
      </c>
    </row>
    <row r="1031" spans="1:15">
      <c r="A1031" s="5" t="s">
        <v>15</v>
      </c>
      <c r="B1031" s="5" t="str">
        <f>"FES1162740670"</f>
        <v>FES1162740670</v>
      </c>
      <c r="C1031" s="5" t="s">
        <v>363</v>
      </c>
      <c r="D1031" s="5">
        <v>1</v>
      </c>
      <c r="E1031" s="5" t="str">
        <f>"2170732315"</f>
        <v>2170732315</v>
      </c>
      <c r="F1031" s="5" t="s">
        <v>17</v>
      </c>
      <c r="G1031" s="5" t="s">
        <v>18</v>
      </c>
      <c r="H1031" s="5" t="s">
        <v>19</v>
      </c>
      <c r="I1031" s="5" t="s">
        <v>20</v>
      </c>
      <c r="J1031" s="5" t="s">
        <v>84</v>
      </c>
      <c r="K1031" s="5" t="s">
        <v>662</v>
      </c>
      <c r="L1031" s="6">
        <v>0.39999999999999997</v>
      </c>
      <c r="M1031" s="5" t="s">
        <v>1094</v>
      </c>
      <c r="N1031" s="5" t="s">
        <v>24</v>
      </c>
      <c r="O1031" s="5" t="s">
        <v>25</v>
      </c>
    </row>
    <row r="1032" spans="1:15">
      <c r="A1032" s="5" t="s">
        <v>15</v>
      </c>
      <c r="B1032" s="5" t="str">
        <f>"FES1162740598"</f>
        <v>FES1162740598</v>
      </c>
      <c r="C1032" s="5" t="s">
        <v>363</v>
      </c>
      <c r="D1032" s="5">
        <v>1</v>
      </c>
      <c r="E1032" s="5" t="str">
        <f>"2170732216"</f>
        <v>2170732216</v>
      </c>
      <c r="F1032" s="5" t="s">
        <v>17</v>
      </c>
      <c r="G1032" s="5" t="s">
        <v>18</v>
      </c>
      <c r="H1032" s="5" t="s">
        <v>100</v>
      </c>
      <c r="I1032" s="5" t="s">
        <v>101</v>
      </c>
      <c r="J1032" s="5" t="s">
        <v>318</v>
      </c>
      <c r="K1032" s="5" t="s">
        <v>662</v>
      </c>
      <c r="L1032" s="6">
        <v>0.41666666666666669</v>
      </c>
      <c r="M1032" s="5" t="s">
        <v>268</v>
      </c>
      <c r="N1032" s="5" t="s">
        <v>24</v>
      </c>
      <c r="O1032" s="5" t="s">
        <v>25</v>
      </c>
    </row>
    <row r="1033" spans="1:15">
      <c r="A1033" s="5" t="s">
        <v>15</v>
      </c>
      <c r="B1033" s="5" t="str">
        <f>"FES1162740602"</f>
        <v>FES1162740602</v>
      </c>
      <c r="C1033" s="5" t="s">
        <v>363</v>
      </c>
      <c r="D1033" s="5">
        <v>1</v>
      </c>
      <c r="E1033" s="5" t="str">
        <f>"217073223"</f>
        <v>217073223</v>
      </c>
      <c r="F1033" s="5" t="s">
        <v>17</v>
      </c>
      <c r="G1033" s="5" t="s">
        <v>18</v>
      </c>
      <c r="H1033" s="5" t="s">
        <v>100</v>
      </c>
      <c r="I1033" s="5" t="s">
        <v>144</v>
      </c>
      <c r="J1033" s="5" t="s">
        <v>378</v>
      </c>
      <c r="K1033" s="5" t="s">
        <v>662</v>
      </c>
      <c r="L1033" s="6">
        <v>0.41666666666666669</v>
      </c>
      <c r="M1033" s="5" t="s">
        <v>1095</v>
      </c>
      <c r="N1033" s="5" t="s">
        <v>24</v>
      </c>
      <c r="O1033" s="5" t="s">
        <v>25</v>
      </c>
    </row>
    <row r="1034" spans="1:15">
      <c r="A1034" s="5" t="s">
        <v>15</v>
      </c>
      <c r="B1034" s="5" t="str">
        <f>"FES1162740608"</f>
        <v>FES1162740608</v>
      </c>
      <c r="C1034" s="5" t="s">
        <v>363</v>
      </c>
      <c r="D1034" s="5">
        <v>1</v>
      </c>
      <c r="E1034" s="5" t="str">
        <f>"2170732235"</f>
        <v>2170732235</v>
      </c>
      <c r="F1034" s="5" t="s">
        <v>17</v>
      </c>
      <c r="G1034" s="5" t="s">
        <v>18</v>
      </c>
      <c r="H1034" s="5" t="s">
        <v>100</v>
      </c>
      <c r="I1034" s="5" t="s">
        <v>144</v>
      </c>
      <c r="J1034" s="5" t="s">
        <v>378</v>
      </c>
      <c r="K1034" s="5" t="s">
        <v>662</v>
      </c>
      <c r="L1034" s="6">
        <v>0.38750000000000001</v>
      </c>
      <c r="M1034" s="5" t="s">
        <v>1096</v>
      </c>
      <c r="N1034" s="5" t="s">
        <v>24</v>
      </c>
      <c r="O1034" s="5" t="s">
        <v>25</v>
      </c>
    </row>
    <row r="1035" spans="1:15">
      <c r="A1035" s="5" t="s">
        <v>15</v>
      </c>
      <c r="B1035" s="5" t="str">
        <f>"FES1162740568"</f>
        <v>FES1162740568</v>
      </c>
      <c r="C1035" s="5" t="s">
        <v>363</v>
      </c>
      <c r="D1035" s="5">
        <v>1</v>
      </c>
      <c r="E1035" s="5" t="str">
        <f>"2170732191"</f>
        <v>2170732191</v>
      </c>
      <c r="F1035" s="5" t="s">
        <v>17</v>
      </c>
      <c r="G1035" s="5" t="s">
        <v>18</v>
      </c>
      <c r="H1035" s="5" t="s">
        <v>100</v>
      </c>
      <c r="I1035" s="5" t="s">
        <v>262</v>
      </c>
      <c r="J1035" s="5" t="s">
        <v>409</v>
      </c>
      <c r="K1035" s="5" t="s">
        <v>1042</v>
      </c>
      <c r="L1035" s="6">
        <v>0.40902777777777777</v>
      </c>
      <c r="M1035" s="5" t="s">
        <v>409</v>
      </c>
      <c r="N1035" s="5" t="s">
        <v>24</v>
      </c>
      <c r="O1035" s="5" t="s">
        <v>25</v>
      </c>
    </row>
    <row r="1036" spans="1:15">
      <c r="A1036" s="5" t="s">
        <v>15</v>
      </c>
      <c r="B1036" s="5" t="str">
        <f>"FES1162740611"</f>
        <v>FES1162740611</v>
      </c>
      <c r="C1036" s="5" t="s">
        <v>363</v>
      </c>
      <c r="D1036" s="5">
        <v>1</v>
      </c>
      <c r="E1036" s="5" t="str">
        <f>"2170732244"</f>
        <v>2170732244</v>
      </c>
      <c r="F1036" s="5" t="s">
        <v>17</v>
      </c>
      <c r="G1036" s="5" t="s">
        <v>18</v>
      </c>
      <c r="H1036" s="5" t="s">
        <v>100</v>
      </c>
      <c r="I1036" s="5" t="s">
        <v>101</v>
      </c>
      <c r="J1036" s="5" t="s">
        <v>296</v>
      </c>
      <c r="K1036" s="5" t="s">
        <v>662</v>
      </c>
      <c r="L1036" s="6">
        <v>0.36527777777777781</v>
      </c>
      <c r="M1036" s="5" t="s">
        <v>297</v>
      </c>
      <c r="N1036" s="5" t="s">
        <v>24</v>
      </c>
      <c r="O1036" s="5" t="s">
        <v>25</v>
      </c>
    </row>
    <row r="1037" spans="1:15">
      <c r="A1037" s="5" t="s">
        <v>15</v>
      </c>
      <c r="B1037" s="5" t="str">
        <f>"FES1162740561"</f>
        <v>FES1162740561</v>
      </c>
      <c r="C1037" s="5" t="s">
        <v>363</v>
      </c>
      <c r="D1037" s="5">
        <v>1</v>
      </c>
      <c r="E1037" s="5" t="str">
        <f>"2170731938"</f>
        <v>2170731938</v>
      </c>
      <c r="F1037" s="5" t="s">
        <v>17</v>
      </c>
      <c r="G1037" s="5" t="s">
        <v>18</v>
      </c>
      <c r="H1037" s="5" t="s">
        <v>100</v>
      </c>
      <c r="I1037" s="5" t="s">
        <v>262</v>
      </c>
      <c r="J1037" s="5" t="s">
        <v>409</v>
      </c>
      <c r="K1037" s="5" t="s">
        <v>1042</v>
      </c>
      <c r="L1037" s="6">
        <v>0.40902777777777777</v>
      </c>
      <c r="M1037" s="5" t="s">
        <v>409</v>
      </c>
      <c r="N1037" s="5" t="s">
        <v>24</v>
      </c>
      <c r="O1037" s="5" t="s">
        <v>25</v>
      </c>
    </row>
    <row r="1038" spans="1:15">
      <c r="A1038" s="5" t="s">
        <v>15</v>
      </c>
      <c r="B1038" s="5" t="str">
        <f>"FES1162740594"</f>
        <v>FES1162740594</v>
      </c>
      <c r="C1038" s="5" t="s">
        <v>363</v>
      </c>
      <c r="D1038" s="5">
        <v>1</v>
      </c>
      <c r="E1038" s="5" t="str">
        <f>"2170732210"</f>
        <v>2170732210</v>
      </c>
      <c r="F1038" s="5" t="s">
        <v>17</v>
      </c>
      <c r="G1038" s="5" t="s">
        <v>18</v>
      </c>
      <c r="H1038" s="5" t="s">
        <v>100</v>
      </c>
      <c r="I1038" s="5" t="s">
        <v>101</v>
      </c>
      <c r="J1038" s="5" t="s">
        <v>137</v>
      </c>
      <c r="K1038" s="5" t="s">
        <v>662</v>
      </c>
      <c r="L1038" s="6">
        <v>0.4375</v>
      </c>
      <c r="M1038" s="5" t="s">
        <v>371</v>
      </c>
      <c r="N1038" s="5" t="s">
        <v>24</v>
      </c>
      <c r="O1038" s="5" t="s">
        <v>25</v>
      </c>
    </row>
    <row r="1039" spans="1:15">
      <c r="A1039" s="5" t="s">
        <v>15</v>
      </c>
      <c r="B1039" s="5" t="str">
        <f>"FES1162740612"</f>
        <v>FES1162740612</v>
      </c>
      <c r="C1039" s="5" t="s">
        <v>363</v>
      </c>
      <c r="D1039" s="5">
        <v>1</v>
      </c>
      <c r="E1039" s="5" t="str">
        <f>"2170732246"</f>
        <v>2170732246</v>
      </c>
      <c r="F1039" s="5" t="s">
        <v>17</v>
      </c>
      <c r="G1039" s="5" t="s">
        <v>18</v>
      </c>
      <c r="H1039" s="5" t="s">
        <v>100</v>
      </c>
      <c r="I1039" s="5" t="s">
        <v>101</v>
      </c>
      <c r="J1039" s="5" t="s">
        <v>1097</v>
      </c>
      <c r="K1039" s="5" t="s">
        <v>662</v>
      </c>
      <c r="L1039" s="6">
        <v>0.33680555555555558</v>
      </c>
      <c r="M1039" s="5" t="s">
        <v>1098</v>
      </c>
      <c r="N1039" s="5" t="s">
        <v>24</v>
      </c>
      <c r="O1039" s="5" t="s">
        <v>25</v>
      </c>
    </row>
    <row r="1040" spans="1:15">
      <c r="A1040" s="3" t="s">
        <v>15</v>
      </c>
      <c r="B1040" s="3" t="str">
        <f>"FES1162740633"</f>
        <v>FES1162740633</v>
      </c>
      <c r="C1040" s="3" t="s">
        <v>363</v>
      </c>
      <c r="D1040" s="3">
        <v>1</v>
      </c>
      <c r="E1040" s="3" t="str">
        <f>"2170732276"</f>
        <v>2170732276</v>
      </c>
      <c r="F1040" s="3" t="s">
        <v>17</v>
      </c>
      <c r="G1040" s="3" t="s">
        <v>18</v>
      </c>
      <c r="H1040" s="3" t="s">
        <v>100</v>
      </c>
      <c r="I1040" s="3" t="s">
        <v>101</v>
      </c>
      <c r="J1040" s="3" t="s">
        <v>894</v>
      </c>
      <c r="K1040" s="3" t="s">
        <v>662</v>
      </c>
      <c r="L1040" s="4">
        <v>0.36319444444444443</v>
      </c>
      <c r="M1040" s="3" t="s">
        <v>895</v>
      </c>
      <c r="N1040" s="3" t="s">
        <v>24</v>
      </c>
      <c r="O1040" s="3" t="s">
        <v>25</v>
      </c>
    </row>
    <row r="1041" spans="1:15">
      <c r="A1041" s="3" t="s">
        <v>15</v>
      </c>
      <c r="B1041" s="3" t="str">
        <f>"FES1162740631"</f>
        <v>FES1162740631</v>
      </c>
      <c r="C1041" s="3" t="s">
        <v>363</v>
      </c>
      <c r="D1041" s="3">
        <v>1</v>
      </c>
      <c r="E1041" s="3" t="str">
        <f>"2170732274"</f>
        <v>2170732274</v>
      </c>
      <c r="F1041" s="3" t="s">
        <v>17</v>
      </c>
      <c r="G1041" s="3" t="s">
        <v>18</v>
      </c>
      <c r="H1041" s="3" t="s">
        <v>18</v>
      </c>
      <c r="I1041" s="3" t="s">
        <v>26</v>
      </c>
      <c r="J1041" s="3" t="s">
        <v>707</v>
      </c>
      <c r="K1041" s="3" t="s">
        <v>662</v>
      </c>
      <c r="L1041" s="4">
        <v>0.34722222222222227</v>
      </c>
      <c r="M1041" s="3" t="s">
        <v>1099</v>
      </c>
      <c r="N1041" s="3" t="s">
        <v>24</v>
      </c>
      <c r="O1041" s="3" t="s">
        <v>25</v>
      </c>
    </row>
    <row r="1042" spans="1:15">
      <c r="A1042" s="3" t="s">
        <v>15</v>
      </c>
      <c r="B1042" s="3" t="str">
        <f>"FES1162740589"</f>
        <v>FES1162740589</v>
      </c>
      <c r="C1042" s="3" t="s">
        <v>363</v>
      </c>
      <c r="D1042" s="3">
        <v>1</v>
      </c>
      <c r="E1042" s="3" t="str">
        <f>"2170730927"</f>
        <v>2170730927</v>
      </c>
      <c r="F1042" s="3" t="s">
        <v>17</v>
      </c>
      <c r="G1042" s="3" t="s">
        <v>18</v>
      </c>
      <c r="H1042" s="3" t="s">
        <v>18</v>
      </c>
      <c r="I1042" s="3" t="s">
        <v>180</v>
      </c>
      <c r="J1042" s="3" t="s">
        <v>1100</v>
      </c>
      <c r="K1042" s="3" t="s">
        <v>662</v>
      </c>
      <c r="L1042" s="4">
        <v>0.33333333333333331</v>
      </c>
      <c r="M1042" s="3" t="s">
        <v>1101</v>
      </c>
      <c r="N1042" s="3" t="s">
        <v>24</v>
      </c>
      <c r="O1042" s="3" t="s">
        <v>25</v>
      </c>
    </row>
    <row r="1043" spans="1:15">
      <c r="A1043" s="3" t="s">
        <v>15</v>
      </c>
      <c r="B1043" s="3" t="str">
        <f>"FES1162740597"</f>
        <v>FES1162740597</v>
      </c>
      <c r="C1043" s="3" t="s">
        <v>363</v>
      </c>
      <c r="D1043" s="3">
        <v>1</v>
      </c>
      <c r="E1043" s="3" t="str">
        <f>"2170732215"</f>
        <v>2170732215</v>
      </c>
      <c r="F1043" s="3" t="s">
        <v>17</v>
      </c>
      <c r="G1043" s="3" t="s">
        <v>18</v>
      </c>
      <c r="H1043" s="3" t="s">
        <v>18</v>
      </c>
      <c r="I1043" s="3" t="s">
        <v>29</v>
      </c>
      <c r="J1043" s="3" t="s">
        <v>307</v>
      </c>
      <c r="K1043" s="3" t="s">
        <v>662</v>
      </c>
      <c r="L1043" s="4">
        <v>0.3215277777777778</v>
      </c>
      <c r="M1043" s="3" t="s">
        <v>1102</v>
      </c>
      <c r="N1043" s="3" t="s">
        <v>24</v>
      </c>
      <c r="O1043" s="3" t="s">
        <v>25</v>
      </c>
    </row>
    <row r="1044" spans="1:15">
      <c r="A1044" s="3" t="s">
        <v>15</v>
      </c>
      <c r="B1044" s="3" t="str">
        <f>"FES1162740411"</f>
        <v>FES1162740411</v>
      </c>
      <c r="C1044" s="3" t="s">
        <v>363</v>
      </c>
      <c r="D1044" s="3">
        <v>1</v>
      </c>
      <c r="E1044" s="3" t="str">
        <f>"2170732019"</f>
        <v>2170732019</v>
      </c>
      <c r="F1044" s="3" t="s">
        <v>17</v>
      </c>
      <c r="G1044" s="3" t="s">
        <v>18</v>
      </c>
      <c r="H1044" s="3" t="s">
        <v>18</v>
      </c>
      <c r="I1044" s="3" t="s">
        <v>171</v>
      </c>
      <c r="J1044" s="3" t="s">
        <v>522</v>
      </c>
      <c r="K1044" s="3" t="s">
        <v>662</v>
      </c>
      <c r="L1044" s="4">
        <v>0.27638888888888885</v>
      </c>
      <c r="M1044" s="3" t="s">
        <v>28</v>
      </c>
      <c r="N1044" s="3" t="s">
        <v>24</v>
      </c>
      <c r="O1044" s="3" t="s">
        <v>25</v>
      </c>
    </row>
    <row r="1045" spans="1:15">
      <c r="A1045" s="3" t="s">
        <v>15</v>
      </c>
      <c r="B1045" s="3" t="str">
        <f>"FES1162740573"</f>
        <v>FES1162740573</v>
      </c>
      <c r="C1045" s="3" t="s">
        <v>363</v>
      </c>
      <c r="D1045" s="3">
        <v>1</v>
      </c>
      <c r="E1045" s="3" t="str">
        <f>"21707312941"</f>
        <v>21707312941</v>
      </c>
      <c r="F1045" s="3" t="s">
        <v>17</v>
      </c>
      <c r="G1045" s="3" t="s">
        <v>18</v>
      </c>
      <c r="H1045" s="3" t="s">
        <v>18</v>
      </c>
      <c r="I1045" s="3" t="s">
        <v>309</v>
      </c>
      <c r="J1045" s="3" t="s">
        <v>910</v>
      </c>
      <c r="K1045" s="3" t="s">
        <v>662</v>
      </c>
      <c r="L1045" s="4">
        <v>0.36180555555555555</v>
      </c>
      <c r="M1045" s="3" t="s">
        <v>1103</v>
      </c>
      <c r="N1045" s="3" t="s">
        <v>24</v>
      </c>
      <c r="O1045" s="3" t="s">
        <v>25</v>
      </c>
    </row>
    <row r="1046" spans="1:15">
      <c r="A1046" s="3" t="s">
        <v>15</v>
      </c>
      <c r="B1046" s="3" t="str">
        <f>"FES1162740610"</f>
        <v>FES1162740610</v>
      </c>
      <c r="C1046" s="3" t="s">
        <v>363</v>
      </c>
      <c r="D1046" s="3">
        <v>1</v>
      </c>
      <c r="E1046" s="3" t="str">
        <f>"2170732243"</f>
        <v>2170732243</v>
      </c>
      <c r="F1046" s="3" t="s">
        <v>17</v>
      </c>
      <c r="G1046" s="3" t="s">
        <v>18</v>
      </c>
      <c r="H1046" s="3" t="s">
        <v>18</v>
      </c>
      <c r="I1046" s="3" t="s">
        <v>180</v>
      </c>
      <c r="J1046" s="3" t="s">
        <v>181</v>
      </c>
      <c r="K1046" s="3" t="s">
        <v>662</v>
      </c>
      <c r="L1046" s="4">
        <v>0.375</v>
      </c>
      <c r="M1046" s="3" t="s">
        <v>1104</v>
      </c>
      <c r="N1046" s="3" t="s">
        <v>24</v>
      </c>
      <c r="O1046" s="3" t="s">
        <v>317</v>
      </c>
    </row>
    <row r="1047" spans="1:15">
      <c r="A1047" s="3" t="s">
        <v>15</v>
      </c>
      <c r="B1047" s="3" t="str">
        <f>"FES1162740673"</f>
        <v>FES1162740673</v>
      </c>
      <c r="C1047" s="3" t="s">
        <v>363</v>
      </c>
      <c r="D1047" s="3">
        <v>1</v>
      </c>
      <c r="E1047" s="3" t="str">
        <f>"2170729001"</f>
        <v>2170729001</v>
      </c>
      <c r="F1047" s="3" t="s">
        <v>528</v>
      </c>
      <c r="G1047" s="3" t="s">
        <v>948</v>
      </c>
      <c r="H1047" s="3" t="s">
        <v>19</v>
      </c>
      <c r="I1047" s="3" t="s">
        <v>20</v>
      </c>
      <c r="J1047" s="3" t="s">
        <v>87</v>
      </c>
      <c r="K1047" s="3" t="s">
        <v>662</v>
      </c>
      <c r="L1047" s="4">
        <v>0.67013888888888884</v>
      </c>
      <c r="M1047" s="3" t="s">
        <v>1105</v>
      </c>
      <c r="N1047" s="3" t="s">
        <v>24</v>
      </c>
      <c r="O1047" s="3" t="s">
        <v>25</v>
      </c>
    </row>
    <row r="1048" spans="1:15">
      <c r="A1048" s="3" t="s">
        <v>15</v>
      </c>
      <c r="B1048" s="3" t="str">
        <f>"FES1162740674"</f>
        <v>FES1162740674</v>
      </c>
      <c r="C1048" s="3" t="s">
        <v>363</v>
      </c>
      <c r="D1048" s="3">
        <v>1</v>
      </c>
      <c r="E1048" s="3" t="str">
        <f>"2170730099"</f>
        <v>2170730099</v>
      </c>
      <c r="F1048" s="3" t="s">
        <v>17</v>
      </c>
      <c r="G1048" s="3" t="s">
        <v>18</v>
      </c>
      <c r="H1048" s="3" t="s">
        <v>18</v>
      </c>
      <c r="I1048" s="3" t="s">
        <v>29</v>
      </c>
      <c r="J1048" s="3" t="s">
        <v>493</v>
      </c>
      <c r="K1048" s="3" t="s">
        <v>662</v>
      </c>
      <c r="L1048" s="4">
        <v>0.2951388888888889</v>
      </c>
      <c r="M1048" s="3" t="s">
        <v>494</v>
      </c>
      <c r="N1048" s="3" t="s">
        <v>24</v>
      </c>
      <c r="O1048" s="3" t="s">
        <v>25</v>
      </c>
    </row>
    <row r="1049" spans="1:15">
      <c r="A1049" s="3" t="s">
        <v>15</v>
      </c>
      <c r="B1049" s="3" t="str">
        <f>"FES1162740625"</f>
        <v>FES1162740625</v>
      </c>
      <c r="C1049" s="3" t="s">
        <v>363</v>
      </c>
      <c r="D1049" s="3">
        <v>1</v>
      </c>
      <c r="E1049" s="3" t="str">
        <f>"2170732267"</f>
        <v>2170732267</v>
      </c>
      <c r="F1049" s="3" t="s">
        <v>17</v>
      </c>
      <c r="G1049" s="3" t="s">
        <v>18</v>
      </c>
      <c r="H1049" s="3" t="s">
        <v>537</v>
      </c>
      <c r="I1049" s="3" t="s">
        <v>538</v>
      </c>
      <c r="J1049" s="3" t="s">
        <v>1106</v>
      </c>
      <c r="K1049" s="3" t="s">
        <v>662</v>
      </c>
      <c r="L1049" s="4">
        <v>0.42083333333333334</v>
      </c>
      <c r="M1049" s="3" t="s">
        <v>1107</v>
      </c>
      <c r="N1049" s="3" t="s">
        <v>24</v>
      </c>
      <c r="O1049" s="3" t="s">
        <v>25</v>
      </c>
    </row>
    <row r="1050" spans="1:15">
      <c r="A1050" s="3" t="s">
        <v>15</v>
      </c>
      <c r="B1050" s="3" t="str">
        <f>"FES1162740584"</f>
        <v>FES1162740584</v>
      </c>
      <c r="C1050" s="3" t="s">
        <v>363</v>
      </c>
      <c r="D1050" s="3">
        <v>1</v>
      </c>
      <c r="E1050" s="3" t="str">
        <f>"2170732203"</f>
        <v>2170732203</v>
      </c>
      <c r="F1050" s="3" t="s">
        <v>17</v>
      </c>
      <c r="G1050" s="3" t="s">
        <v>18</v>
      </c>
      <c r="H1050" s="3" t="s">
        <v>100</v>
      </c>
      <c r="I1050" s="3" t="s">
        <v>117</v>
      </c>
      <c r="J1050" s="3" t="s">
        <v>335</v>
      </c>
      <c r="K1050" s="3" t="s">
        <v>662</v>
      </c>
      <c r="L1050" s="4">
        <v>0.50208333333333333</v>
      </c>
      <c r="M1050" s="3" t="s">
        <v>336</v>
      </c>
      <c r="N1050" s="3" t="s">
        <v>24</v>
      </c>
      <c r="O1050" s="3" t="s">
        <v>25</v>
      </c>
    </row>
    <row r="1051" spans="1:15">
      <c r="A1051" s="3" t="s">
        <v>15</v>
      </c>
      <c r="B1051" s="3" t="str">
        <f>"FES1162740583"</f>
        <v>FES1162740583</v>
      </c>
      <c r="C1051" s="3" t="s">
        <v>363</v>
      </c>
      <c r="D1051" s="3">
        <v>1</v>
      </c>
      <c r="E1051" s="3" t="str">
        <f>"2170732201"</f>
        <v>2170732201</v>
      </c>
      <c r="F1051" s="3" t="s">
        <v>17</v>
      </c>
      <c r="G1051" s="3" t="s">
        <v>18</v>
      </c>
      <c r="H1051" s="3" t="s">
        <v>100</v>
      </c>
      <c r="I1051" s="3" t="s">
        <v>117</v>
      </c>
      <c r="J1051" s="3" t="s">
        <v>784</v>
      </c>
      <c r="K1051" s="3" t="s">
        <v>662</v>
      </c>
      <c r="L1051" s="4">
        <v>0.51041666666666663</v>
      </c>
      <c r="M1051" s="3" t="s">
        <v>785</v>
      </c>
      <c r="N1051" s="3" t="s">
        <v>24</v>
      </c>
      <c r="O1051" s="3" t="s">
        <v>25</v>
      </c>
    </row>
    <row r="1052" spans="1:15">
      <c r="A1052" s="3" t="s">
        <v>15</v>
      </c>
      <c r="B1052" s="3" t="str">
        <f>"FES1162740616"</f>
        <v>FES1162740616</v>
      </c>
      <c r="C1052" s="3" t="s">
        <v>363</v>
      </c>
      <c r="D1052" s="3">
        <v>1</v>
      </c>
      <c r="E1052" s="3" t="str">
        <f>"2170732254"</f>
        <v>2170732254</v>
      </c>
      <c r="F1052" s="3" t="s">
        <v>17</v>
      </c>
      <c r="G1052" s="3" t="s">
        <v>18</v>
      </c>
      <c r="H1052" s="3" t="s">
        <v>100</v>
      </c>
      <c r="I1052" s="3" t="s">
        <v>101</v>
      </c>
      <c r="J1052" s="3" t="s">
        <v>1108</v>
      </c>
      <c r="K1052" s="3" t="s">
        <v>662</v>
      </c>
      <c r="L1052" s="4">
        <v>0.3125</v>
      </c>
      <c r="M1052" s="3" t="s">
        <v>1109</v>
      </c>
      <c r="N1052" s="3" t="s">
        <v>24</v>
      </c>
      <c r="O1052" s="3" t="s">
        <v>25</v>
      </c>
    </row>
    <row r="1053" spans="1:15">
      <c r="A1053" s="3" t="s">
        <v>15</v>
      </c>
      <c r="B1053" s="3" t="str">
        <f>"FES1162740666"</f>
        <v>FES1162740666</v>
      </c>
      <c r="C1053" s="3" t="s">
        <v>363</v>
      </c>
      <c r="D1053" s="3">
        <v>1</v>
      </c>
      <c r="E1053" s="3" t="str">
        <f>"2170732311"</f>
        <v>2170732311</v>
      </c>
      <c r="F1053" s="3" t="s">
        <v>17</v>
      </c>
      <c r="G1053" s="3" t="s">
        <v>18</v>
      </c>
      <c r="H1053" s="3" t="s">
        <v>70</v>
      </c>
      <c r="I1053" s="3" t="s">
        <v>71</v>
      </c>
      <c r="J1053" s="3" t="s">
        <v>252</v>
      </c>
      <c r="K1053" s="3" t="s">
        <v>662</v>
      </c>
      <c r="L1053" s="4">
        <v>0.34930555555555554</v>
      </c>
      <c r="M1053" s="3" t="s">
        <v>1110</v>
      </c>
      <c r="N1053" s="3" t="s">
        <v>24</v>
      </c>
      <c r="O1053" s="3" t="s">
        <v>25</v>
      </c>
    </row>
    <row r="1054" spans="1:15">
      <c r="A1054" s="3" t="s">
        <v>15</v>
      </c>
      <c r="B1054" s="3" t="str">
        <f>"FES1162740652"</f>
        <v>FES1162740652</v>
      </c>
      <c r="C1054" s="3" t="s">
        <v>363</v>
      </c>
      <c r="D1054" s="3">
        <v>1</v>
      </c>
      <c r="E1054" s="3" t="str">
        <f>"2170732297"</f>
        <v>2170732297</v>
      </c>
      <c r="F1054" s="3" t="s">
        <v>17</v>
      </c>
      <c r="G1054" s="3" t="s">
        <v>18</v>
      </c>
      <c r="H1054" s="3" t="s">
        <v>19</v>
      </c>
      <c r="I1054" s="3" t="s">
        <v>20</v>
      </c>
      <c r="J1054" s="3" t="s">
        <v>56</v>
      </c>
      <c r="K1054" s="3" t="s">
        <v>662</v>
      </c>
      <c r="L1054" s="4">
        <v>0.35347222222222219</v>
      </c>
      <c r="M1054" s="3" t="s">
        <v>57</v>
      </c>
      <c r="N1054" s="3" t="s">
        <v>24</v>
      </c>
      <c r="O1054" s="3" t="s">
        <v>25</v>
      </c>
    </row>
    <row r="1055" spans="1:15">
      <c r="A1055" s="3" t="s">
        <v>15</v>
      </c>
      <c r="B1055" s="3" t="str">
        <f>"FES1162740653"</f>
        <v>FES1162740653</v>
      </c>
      <c r="C1055" s="3" t="s">
        <v>363</v>
      </c>
      <c r="D1055" s="3">
        <v>1</v>
      </c>
      <c r="E1055" s="3" t="str">
        <f>"2170728966"</f>
        <v>2170728966</v>
      </c>
      <c r="F1055" s="3" t="s">
        <v>17</v>
      </c>
      <c r="G1055" s="3" t="s">
        <v>18</v>
      </c>
      <c r="H1055" s="3" t="s">
        <v>100</v>
      </c>
      <c r="I1055" s="3" t="s">
        <v>101</v>
      </c>
      <c r="J1055" s="3" t="s">
        <v>1111</v>
      </c>
      <c r="K1055" s="3" t="s">
        <v>662</v>
      </c>
      <c r="L1055" s="4">
        <v>0.3979166666666667</v>
      </c>
      <c r="M1055" s="3" t="s">
        <v>1112</v>
      </c>
      <c r="N1055" s="3" t="s">
        <v>24</v>
      </c>
      <c r="O1055" s="3" t="s">
        <v>25</v>
      </c>
    </row>
    <row r="1056" spans="1:15">
      <c r="A1056" s="3" t="s">
        <v>15</v>
      </c>
      <c r="B1056" s="3" t="str">
        <f>"FES1162740655"</f>
        <v>FES1162740655</v>
      </c>
      <c r="C1056" s="3" t="s">
        <v>363</v>
      </c>
      <c r="D1056" s="3">
        <v>1</v>
      </c>
      <c r="E1056" s="3" t="str">
        <f>"2170732299"</f>
        <v>2170732299</v>
      </c>
      <c r="F1056" s="3" t="s">
        <v>17</v>
      </c>
      <c r="G1056" s="3" t="s">
        <v>18</v>
      </c>
      <c r="H1056" s="3" t="s">
        <v>100</v>
      </c>
      <c r="I1056" s="3" t="s">
        <v>262</v>
      </c>
      <c r="J1056" s="3" t="s">
        <v>1113</v>
      </c>
      <c r="K1056" s="3" t="s">
        <v>1042</v>
      </c>
      <c r="L1056" s="4">
        <v>0.40833333333333338</v>
      </c>
      <c r="M1056" s="3" t="s">
        <v>1114</v>
      </c>
      <c r="N1056" s="3" t="s">
        <v>24</v>
      </c>
      <c r="O1056" s="3" t="s">
        <v>25</v>
      </c>
    </row>
    <row r="1057" spans="1:15">
      <c r="A1057" s="3" t="s">
        <v>15</v>
      </c>
      <c r="B1057" s="3" t="str">
        <f>"FES1162740661"</f>
        <v>FES1162740661</v>
      </c>
      <c r="C1057" s="3" t="s">
        <v>363</v>
      </c>
      <c r="D1057" s="3">
        <v>1</v>
      </c>
      <c r="E1057" s="3" t="str">
        <f>"2170732306"</f>
        <v>2170732306</v>
      </c>
      <c r="F1057" s="3" t="s">
        <v>17</v>
      </c>
      <c r="G1057" s="3" t="s">
        <v>18</v>
      </c>
      <c r="H1057" s="3" t="s">
        <v>100</v>
      </c>
      <c r="I1057" s="3" t="s">
        <v>101</v>
      </c>
      <c r="J1057" s="3" t="s">
        <v>1115</v>
      </c>
      <c r="K1057" s="3" t="s">
        <v>1042</v>
      </c>
      <c r="L1057" s="4">
        <v>0.40277777777777773</v>
      </c>
      <c r="M1057" s="3" t="s">
        <v>558</v>
      </c>
      <c r="N1057" s="3" t="s">
        <v>24</v>
      </c>
      <c r="O1057" s="3" t="s">
        <v>25</v>
      </c>
    </row>
    <row r="1058" spans="1:15">
      <c r="A1058" s="3" t="s">
        <v>15</v>
      </c>
      <c r="B1058" s="3" t="str">
        <f>"FES1162740643"</f>
        <v>FES1162740643</v>
      </c>
      <c r="C1058" s="3" t="s">
        <v>363</v>
      </c>
      <c r="D1058" s="3">
        <v>1</v>
      </c>
      <c r="E1058" s="3" t="str">
        <f>"2170732285"</f>
        <v>2170732285</v>
      </c>
      <c r="F1058" s="3" t="s">
        <v>17</v>
      </c>
      <c r="G1058" s="3" t="s">
        <v>18</v>
      </c>
      <c r="H1058" s="3" t="s">
        <v>100</v>
      </c>
      <c r="I1058" s="3" t="s">
        <v>262</v>
      </c>
      <c r="J1058" s="3" t="s">
        <v>263</v>
      </c>
      <c r="K1058" s="3" t="s">
        <v>1042</v>
      </c>
      <c r="L1058" s="4">
        <v>0.40902777777777777</v>
      </c>
      <c r="M1058" s="3" t="s">
        <v>263</v>
      </c>
      <c r="N1058" s="3" t="s">
        <v>24</v>
      </c>
      <c r="O1058" s="3" t="s">
        <v>25</v>
      </c>
    </row>
    <row r="1059" spans="1:15">
      <c r="A1059" s="3" t="s">
        <v>15</v>
      </c>
      <c r="B1059" s="3" t="str">
        <f>"FES1162740680"</f>
        <v>FES1162740680</v>
      </c>
      <c r="C1059" s="3" t="s">
        <v>363</v>
      </c>
      <c r="D1059" s="3">
        <v>1</v>
      </c>
      <c r="E1059" s="3" t="str">
        <f>"2170732326"</f>
        <v>2170732326</v>
      </c>
      <c r="F1059" s="3" t="s">
        <v>17</v>
      </c>
      <c r="G1059" s="3" t="s">
        <v>18</v>
      </c>
      <c r="H1059" s="3" t="s">
        <v>537</v>
      </c>
      <c r="I1059" s="3" t="s">
        <v>538</v>
      </c>
      <c r="J1059" s="3" t="s">
        <v>1106</v>
      </c>
      <c r="K1059" s="3" t="s">
        <v>662</v>
      </c>
      <c r="L1059" s="4">
        <v>0.4201388888888889</v>
      </c>
      <c r="M1059" s="3" t="s">
        <v>1107</v>
      </c>
      <c r="N1059" s="3" t="s">
        <v>24</v>
      </c>
      <c r="O1059" s="3" t="s">
        <v>25</v>
      </c>
    </row>
    <row r="1060" spans="1:15">
      <c r="A1060" s="3" t="s">
        <v>15</v>
      </c>
      <c r="B1060" s="3" t="str">
        <f>"FES1162740647"</f>
        <v>FES1162740647</v>
      </c>
      <c r="C1060" s="3" t="s">
        <v>363</v>
      </c>
      <c r="D1060" s="3">
        <v>1</v>
      </c>
      <c r="E1060" s="3" t="str">
        <f>"2170732290"</f>
        <v>2170732290</v>
      </c>
      <c r="F1060" s="3" t="s">
        <v>17</v>
      </c>
      <c r="G1060" s="3" t="s">
        <v>18</v>
      </c>
      <c r="H1060" s="3" t="s">
        <v>18</v>
      </c>
      <c r="I1060" s="3" t="s">
        <v>29</v>
      </c>
      <c r="J1060" s="3" t="s">
        <v>356</v>
      </c>
      <c r="K1060" s="3" t="s">
        <v>662</v>
      </c>
      <c r="L1060" s="4">
        <v>0.32083333333333336</v>
      </c>
      <c r="M1060" s="3" t="s">
        <v>132</v>
      </c>
      <c r="N1060" s="3" t="s">
        <v>24</v>
      </c>
      <c r="O1060" s="3" t="s">
        <v>25</v>
      </c>
    </row>
    <row r="1061" spans="1:15">
      <c r="A1061" s="3" t="s">
        <v>15</v>
      </c>
      <c r="B1061" s="3" t="str">
        <f>"FES1162740656"</f>
        <v>FES1162740656</v>
      </c>
      <c r="C1061" s="3" t="s">
        <v>363</v>
      </c>
      <c r="D1061" s="3">
        <v>1</v>
      </c>
      <c r="E1061" s="3" t="str">
        <f>"2170723031"</f>
        <v>2170723031</v>
      </c>
      <c r="F1061" s="3" t="s">
        <v>17</v>
      </c>
      <c r="G1061" s="3" t="s">
        <v>18</v>
      </c>
      <c r="H1061" s="3" t="s">
        <v>18</v>
      </c>
      <c r="I1061" s="3" t="s">
        <v>29</v>
      </c>
      <c r="J1061" s="3" t="s">
        <v>1116</v>
      </c>
      <c r="K1061" s="3" t="s">
        <v>662</v>
      </c>
      <c r="L1061" s="4">
        <v>0.37847222222222227</v>
      </c>
      <c r="M1061" s="3" t="s">
        <v>1117</v>
      </c>
      <c r="N1061" s="3" t="s">
        <v>24</v>
      </c>
      <c r="O1061" s="3" t="s">
        <v>25</v>
      </c>
    </row>
    <row r="1062" spans="1:15">
      <c r="A1062" s="3" t="s">
        <v>15</v>
      </c>
      <c r="B1062" s="3" t="str">
        <f>"FES1162740590"</f>
        <v>FES1162740590</v>
      </c>
      <c r="C1062" s="3" t="s">
        <v>363</v>
      </c>
      <c r="D1062" s="3">
        <v>1</v>
      </c>
      <c r="E1062" s="3" t="str">
        <f>"2170730973"</f>
        <v>2170730973</v>
      </c>
      <c r="F1062" s="3" t="s">
        <v>17</v>
      </c>
      <c r="G1062" s="3" t="s">
        <v>18</v>
      </c>
      <c r="H1062" s="3" t="s">
        <v>18</v>
      </c>
      <c r="I1062" s="3" t="s">
        <v>26</v>
      </c>
      <c r="J1062" s="3" t="s">
        <v>390</v>
      </c>
      <c r="K1062" s="3" t="s">
        <v>662</v>
      </c>
      <c r="L1062" s="4">
        <v>0.34097222222222223</v>
      </c>
      <c r="M1062" s="3" t="s">
        <v>1118</v>
      </c>
      <c r="N1062" s="3" t="s">
        <v>24</v>
      </c>
      <c r="O1062" s="3" t="s">
        <v>25</v>
      </c>
    </row>
    <row r="1063" spans="1:15">
      <c r="A1063" s="3" t="s">
        <v>15</v>
      </c>
      <c r="B1063" s="3" t="str">
        <f>"FES1162740628"</f>
        <v>FES1162740628</v>
      </c>
      <c r="C1063" s="3" t="s">
        <v>363</v>
      </c>
      <c r="D1063" s="3">
        <v>1</v>
      </c>
      <c r="E1063" s="3" t="str">
        <f>"2170732271"</f>
        <v>2170732271</v>
      </c>
      <c r="F1063" s="3" t="s">
        <v>17</v>
      </c>
      <c r="G1063" s="3" t="s">
        <v>18</v>
      </c>
      <c r="H1063" s="3" t="s">
        <v>18</v>
      </c>
      <c r="I1063" s="3" t="s">
        <v>33</v>
      </c>
      <c r="J1063" s="3" t="s">
        <v>1119</v>
      </c>
      <c r="K1063" s="3" t="s">
        <v>662</v>
      </c>
      <c r="L1063" s="4">
        <v>0.40902777777777777</v>
      </c>
      <c r="M1063" s="3" t="s">
        <v>1120</v>
      </c>
      <c r="N1063" s="3" t="s">
        <v>24</v>
      </c>
      <c r="O1063" s="3" t="s">
        <v>25</v>
      </c>
    </row>
    <row r="1064" spans="1:15">
      <c r="A1064" s="3" t="s">
        <v>15</v>
      </c>
      <c r="B1064" s="3" t="str">
        <f>"FES1162740641"</f>
        <v>FES1162740641</v>
      </c>
      <c r="C1064" s="3" t="s">
        <v>363</v>
      </c>
      <c r="D1064" s="3">
        <v>1</v>
      </c>
      <c r="E1064" s="3" t="str">
        <f>"2170732283"</f>
        <v>2170732283</v>
      </c>
      <c r="F1064" s="3" t="s">
        <v>17</v>
      </c>
      <c r="G1064" s="3" t="s">
        <v>18</v>
      </c>
      <c r="H1064" s="3" t="s">
        <v>18</v>
      </c>
      <c r="I1064" s="3" t="s">
        <v>341</v>
      </c>
      <c r="J1064" s="3" t="s">
        <v>345</v>
      </c>
      <c r="K1064" s="3" t="s">
        <v>662</v>
      </c>
      <c r="L1064" s="4">
        <v>0.50138888888888888</v>
      </c>
      <c r="M1064" s="3" t="s">
        <v>1121</v>
      </c>
      <c r="N1064" s="3" t="s">
        <v>24</v>
      </c>
      <c r="O1064" s="3" t="s">
        <v>25</v>
      </c>
    </row>
    <row r="1065" spans="1:15">
      <c r="A1065" s="3" t="s">
        <v>15</v>
      </c>
      <c r="B1065" s="3" t="str">
        <f>"FES1162740604"</f>
        <v>FES1162740604</v>
      </c>
      <c r="C1065" s="3" t="s">
        <v>363</v>
      </c>
      <c r="D1065" s="3">
        <v>1</v>
      </c>
      <c r="E1065" s="3" t="str">
        <f>"21702732227"</f>
        <v>21702732227</v>
      </c>
      <c r="F1065" s="3" t="s">
        <v>17</v>
      </c>
      <c r="G1065" s="3" t="s">
        <v>18</v>
      </c>
      <c r="H1065" s="3" t="s">
        <v>66</v>
      </c>
      <c r="I1065" s="3" t="s">
        <v>67</v>
      </c>
      <c r="J1065" s="3" t="s">
        <v>298</v>
      </c>
      <c r="K1065" s="3" t="s">
        <v>662</v>
      </c>
      <c r="L1065" s="4">
        <v>0.35416666666666669</v>
      </c>
      <c r="M1065" s="3" t="s">
        <v>299</v>
      </c>
      <c r="N1065" s="3" t="s">
        <v>24</v>
      </c>
      <c r="O1065" s="3" t="s">
        <v>25</v>
      </c>
    </row>
    <row r="1066" spans="1:15">
      <c r="A1066" s="3" t="s">
        <v>15</v>
      </c>
      <c r="B1066" s="3" t="str">
        <f>"FES1162740622"</f>
        <v>FES1162740622</v>
      </c>
      <c r="C1066" s="3" t="s">
        <v>363</v>
      </c>
      <c r="D1066" s="3">
        <v>1</v>
      </c>
      <c r="E1066" s="3" t="str">
        <f>"21717333245"</f>
        <v>21717333245</v>
      </c>
      <c r="F1066" s="3" t="s">
        <v>17</v>
      </c>
      <c r="G1066" s="3" t="s">
        <v>18</v>
      </c>
      <c r="H1066" s="3" t="s">
        <v>18</v>
      </c>
      <c r="I1066" s="3" t="s">
        <v>338</v>
      </c>
      <c r="J1066" s="3" t="s">
        <v>1122</v>
      </c>
      <c r="K1066" s="3" t="s">
        <v>662</v>
      </c>
      <c r="L1066" s="4">
        <v>0.41597222222222219</v>
      </c>
      <c r="M1066" s="3" t="s">
        <v>1123</v>
      </c>
      <c r="N1066" s="3" t="s">
        <v>24</v>
      </c>
      <c r="O1066" s="3" t="s">
        <v>25</v>
      </c>
    </row>
    <row r="1067" spans="1:15">
      <c r="A1067" s="3" t="s">
        <v>15</v>
      </c>
      <c r="B1067" s="3" t="str">
        <f>"FES1162740659"</f>
        <v>FES1162740659</v>
      </c>
      <c r="C1067" s="3" t="s">
        <v>363</v>
      </c>
      <c r="D1067" s="3">
        <v>1</v>
      </c>
      <c r="E1067" s="3" t="str">
        <f>"2170732304"</f>
        <v>2170732304</v>
      </c>
      <c r="F1067" s="3" t="s">
        <v>17</v>
      </c>
      <c r="G1067" s="3" t="s">
        <v>18</v>
      </c>
      <c r="H1067" s="3" t="s">
        <v>215</v>
      </c>
      <c r="I1067" s="3" t="s">
        <v>1124</v>
      </c>
      <c r="J1067" s="3" t="s">
        <v>1125</v>
      </c>
      <c r="K1067" s="3" t="s">
        <v>662</v>
      </c>
      <c r="L1067" s="4">
        <v>0.43611111111111112</v>
      </c>
      <c r="M1067" s="3" t="s">
        <v>1126</v>
      </c>
      <c r="N1067" s="3" t="s">
        <v>24</v>
      </c>
      <c r="O1067" s="3" t="s">
        <v>25</v>
      </c>
    </row>
    <row r="1068" spans="1:15">
      <c r="A1068" s="3" t="s">
        <v>15</v>
      </c>
      <c r="B1068" s="3" t="str">
        <f>"FES1162740669"</f>
        <v>FES1162740669</v>
      </c>
      <c r="C1068" s="3" t="s">
        <v>363</v>
      </c>
      <c r="D1068" s="3">
        <v>1</v>
      </c>
      <c r="E1068" s="3" t="str">
        <f>"2170732314"</f>
        <v>2170732314</v>
      </c>
      <c r="F1068" s="3" t="s">
        <v>17</v>
      </c>
      <c r="G1068" s="3" t="s">
        <v>18</v>
      </c>
      <c r="H1068" s="3" t="s">
        <v>100</v>
      </c>
      <c r="I1068" s="3" t="s">
        <v>101</v>
      </c>
      <c r="J1068" s="3" t="s">
        <v>131</v>
      </c>
      <c r="K1068" s="3" t="s">
        <v>662</v>
      </c>
      <c r="L1068" s="4">
        <v>0.3756944444444445</v>
      </c>
      <c r="M1068" s="3" t="s">
        <v>132</v>
      </c>
      <c r="N1068" s="3" t="s">
        <v>24</v>
      </c>
      <c r="O1068" s="3" t="s">
        <v>25</v>
      </c>
    </row>
    <row r="1069" spans="1:15">
      <c r="A1069" s="3" t="s">
        <v>15</v>
      </c>
      <c r="B1069" s="3" t="str">
        <f>"FES1162740658"</f>
        <v>FES1162740658</v>
      </c>
      <c r="C1069" s="3" t="s">
        <v>363</v>
      </c>
      <c r="D1069" s="3">
        <v>1</v>
      </c>
      <c r="E1069" s="3" t="str">
        <f>"2170732303"</f>
        <v>2170732303</v>
      </c>
      <c r="F1069" s="3" t="s">
        <v>17</v>
      </c>
      <c r="G1069" s="3" t="s">
        <v>18</v>
      </c>
      <c r="H1069" s="3" t="s">
        <v>100</v>
      </c>
      <c r="I1069" s="3" t="s">
        <v>101</v>
      </c>
      <c r="J1069" s="3" t="s">
        <v>1115</v>
      </c>
      <c r="K1069" s="3" t="s">
        <v>662</v>
      </c>
      <c r="L1069" s="4">
        <v>0.37013888888888885</v>
      </c>
      <c r="M1069" s="3" t="s">
        <v>1127</v>
      </c>
      <c r="N1069" s="3" t="s">
        <v>24</v>
      </c>
      <c r="O1069" s="3" t="s">
        <v>25</v>
      </c>
    </row>
    <row r="1070" spans="1:15">
      <c r="A1070" s="3" t="s">
        <v>15</v>
      </c>
      <c r="B1070" s="3" t="str">
        <f>"FES1162740671"</f>
        <v>FES1162740671</v>
      </c>
      <c r="C1070" s="3" t="s">
        <v>363</v>
      </c>
      <c r="D1070" s="3">
        <v>1</v>
      </c>
      <c r="E1070" s="3" t="str">
        <f>"2170732316"</f>
        <v>2170732316</v>
      </c>
      <c r="F1070" s="3" t="s">
        <v>17</v>
      </c>
      <c r="G1070" s="3" t="s">
        <v>18</v>
      </c>
      <c r="H1070" s="3" t="s">
        <v>100</v>
      </c>
      <c r="I1070" s="3" t="s">
        <v>101</v>
      </c>
      <c r="J1070" s="3" t="s">
        <v>131</v>
      </c>
      <c r="K1070" s="3" t="s">
        <v>662</v>
      </c>
      <c r="L1070" s="4">
        <v>0.3756944444444445</v>
      </c>
      <c r="M1070" s="3" t="s">
        <v>132</v>
      </c>
      <c r="N1070" s="3" t="s">
        <v>24</v>
      </c>
      <c r="O1070" s="3" t="s">
        <v>25</v>
      </c>
    </row>
    <row r="1071" spans="1:15">
      <c r="A1071" s="3" t="s">
        <v>15</v>
      </c>
      <c r="B1071" s="3" t="str">
        <f>"FES1162740621"</f>
        <v>FES1162740621</v>
      </c>
      <c r="C1071" s="3" t="s">
        <v>363</v>
      </c>
      <c r="D1071" s="3">
        <v>1</v>
      </c>
      <c r="E1071" s="3" t="str">
        <f>"2170732337"</f>
        <v>2170732337</v>
      </c>
      <c r="F1071" s="3" t="s">
        <v>17</v>
      </c>
      <c r="G1071" s="3" t="s">
        <v>18</v>
      </c>
      <c r="H1071" s="3" t="s">
        <v>18</v>
      </c>
      <c r="I1071" s="3" t="s">
        <v>29</v>
      </c>
      <c r="J1071" s="3" t="s">
        <v>74</v>
      </c>
      <c r="K1071" s="3" t="s">
        <v>662</v>
      </c>
      <c r="L1071" s="4">
        <v>0.38541666666666669</v>
      </c>
      <c r="M1071" s="3" t="s">
        <v>75</v>
      </c>
      <c r="N1071" s="3" t="s">
        <v>24</v>
      </c>
      <c r="O1071" s="3" t="s">
        <v>25</v>
      </c>
    </row>
    <row r="1072" spans="1:15">
      <c r="A1072" s="3" t="s">
        <v>15</v>
      </c>
      <c r="B1072" s="3" t="str">
        <f>"FES1162740607"</f>
        <v>FES1162740607</v>
      </c>
      <c r="C1072" s="3" t="s">
        <v>363</v>
      </c>
      <c r="D1072" s="3">
        <v>1</v>
      </c>
      <c r="E1072" s="3" t="str">
        <f>"2170732231"</f>
        <v>2170732231</v>
      </c>
      <c r="F1072" s="3" t="s">
        <v>17</v>
      </c>
      <c r="G1072" s="3" t="s">
        <v>18</v>
      </c>
      <c r="H1072" s="3" t="s">
        <v>18</v>
      </c>
      <c r="I1072" s="3" t="s">
        <v>33</v>
      </c>
      <c r="J1072" s="3" t="s">
        <v>1028</v>
      </c>
      <c r="K1072" s="3" t="s">
        <v>662</v>
      </c>
      <c r="L1072" s="4">
        <v>0.34722222222222227</v>
      </c>
      <c r="M1072" s="3" t="s">
        <v>1128</v>
      </c>
      <c r="N1072" s="3" t="s">
        <v>24</v>
      </c>
      <c r="O1072" s="3" t="s">
        <v>25</v>
      </c>
    </row>
    <row r="1073" spans="1:15">
      <c r="A1073" s="3" t="s">
        <v>15</v>
      </c>
      <c r="B1073" s="3" t="str">
        <f>"FES1162740645"</f>
        <v>FES1162740645</v>
      </c>
      <c r="C1073" s="3" t="s">
        <v>363</v>
      </c>
      <c r="D1073" s="3">
        <v>1</v>
      </c>
      <c r="E1073" s="3" t="str">
        <f>"2170732185"</f>
        <v>2170732185</v>
      </c>
      <c r="F1073" s="3" t="s">
        <v>17</v>
      </c>
      <c r="G1073" s="3" t="s">
        <v>18</v>
      </c>
      <c r="H1073" s="3" t="s">
        <v>18</v>
      </c>
      <c r="I1073" s="3" t="s">
        <v>206</v>
      </c>
      <c r="J1073" s="3" t="s">
        <v>207</v>
      </c>
      <c r="K1073" s="3" t="s">
        <v>662</v>
      </c>
      <c r="L1073" s="4">
        <v>0.33333333333333331</v>
      </c>
      <c r="M1073" s="3" t="s">
        <v>867</v>
      </c>
      <c r="N1073" s="3" t="s">
        <v>24</v>
      </c>
      <c r="O1073" s="3" t="s">
        <v>25</v>
      </c>
    </row>
    <row r="1074" spans="1:15">
      <c r="A1074" s="3" t="s">
        <v>15</v>
      </c>
      <c r="B1074" s="3" t="str">
        <f>"FES1162740586"</f>
        <v>FES1162740586</v>
      </c>
      <c r="C1074" s="3" t="s">
        <v>363</v>
      </c>
      <c r="D1074" s="3">
        <v>1</v>
      </c>
      <c r="E1074" s="3" t="str">
        <f>"2170732606"</f>
        <v>2170732606</v>
      </c>
      <c r="F1074" s="3" t="s">
        <v>17</v>
      </c>
      <c r="G1074" s="3" t="s">
        <v>18</v>
      </c>
      <c r="H1074" s="3" t="s">
        <v>18</v>
      </c>
      <c r="I1074" s="3" t="s">
        <v>171</v>
      </c>
      <c r="J1074" s="3" t="s">
        <v>204</v>
      </c>
      <c r="K1074" s="3" t="s">
        <v>662</v>
      </c>
      <c r="L1074" s="4">
        <v>0.375</v>
      </c>
      <c r="M1074" s="3" t="s">
        <v>1129</v>
      </c>
      <c r="N1074" s="3" t="s">
        <v>24</v>
      </c>
      <c r="O1074" s="3" t="s">
        <v>25</v>
      </c>
    </row>
    <row r="1075" spans="1:15">
      <c r="A1075" s="3" t="s">
        <v>15</v>
      </c>
      <c r="B1075" s="3" t="str">
        <f>"FES1162740696"</f>
        <v>FES1162740696</v>
      </c>
      <c r="C1075" s="3" t="s">
        <v>363</v>
      </c>
      <c r="D1075" s="3">
        <v>1</v>
      </c>
      <c r="E1075" s="3" t="str">
        <f>"2170732345"</f>
        <v>2170732345</v>
      </c>
      <c r="F1075" s="3" t="s">
        <v>17</v>
      </c>
      <c r="G1075" s="3" t="s">
        <v>18</v>
      </c>
      <c r="H1075" s="3" t="s">
        <v>36</v>
      </c>
      <c r="I1075" s="3" t="s">
        <v>37</v>
      </c>
      <c r="J1075" s="3" t="s">
        <v>113</v>
      </c>
      <c r="K1075" s="3" t="s">
        <v>662</v>
      </c>
      <c r="L1075" s="4">
        <v>0.4145833333333333</v>
      </c>
      <c r="M1075" s="3" t="s">
        <v>1068</v>
      </c>
      <c r="N1075" s="3" t="s">
        <v>24</v>
      </c>
      <c r="O1075" s="3" t="s">
        <v>25</v>
      </c>
    </row>
    <row r="1076" spans="1:15">
      <c r="A1076" s="3" t="s">
        <v>15</v>
      </c>
      <c r="B1076" s="3" t="str">
        <f>"FES1162740690"</f>
        <v>FES1162740690</v>
      </c>
      <c r="C1076" s="3" t="s">
        <v>363</v>
      </c>
      <c r="D1076" s="3">
        <v>1</v>
      </c>
      <c r="E1076" s="3" t="str">
        <f>"2170731414"</f>
        <v>2170731414</v>
      </c>
      <c r="F1076" s="3" t="s">
        <v>17</v>
      </c>
      <c r="G1076" s="3" t="s">
        <v>18</v>
      </c>
      <c r="H1076" s="3" t="s">
        <v>366</v>
      </c>
      <c r="I1076" s="3" t="s">
        <v>67</v>
      </c>
      <c r="J1076" s="3" t="s">
        <v>543</v>
      </c>
      <c r="K1076" s="3" t="s">
        <v>662</v>
      </c>
      <c r="L1076" s="4">
        <v>0.40972222222222227</v>
      </c>
      <c r="M1076" s="3" t="s">
        <v>268</v>
      </c>
      <c r="N1076" s="3" t="s">
        <v>24</v>
      </c>
      <c r="O1076" s="3" t="s">
        <v>25</v>
      </c>
    </row>
    <row r="1077" spans="1:15">
      <c r="A1077" s="3" t="s">
        <v>15</v>
      </c>
      <c r="B1077" s="3" t="str">
        <f>"FES1162740695"</f>
        <v>FES1162740695</v>
      </c>
      <c r="C1077" s="3" t="s">
        <v>363</v>
      </c>
      <c r="D1077" s="3">
        <v>1</v>
      </c>
      <c r="E1077" s="3" t="str">
        <f>"2170732341"</f>
        <v>2170732341</v>
      </c>
      <c r="F1077" s="3" t="s">
        <v>17</v>
      </c>
      <c r="G1077" s="3" t="s">
        <v>18</v>
      </c>
      <c r="H1077" s="3" t="s">
        <v>18</v>
      </c>
      <c r="I1077" s="3" t="s">
        <v>222</v>
      </c>
      <c r="J1077" s="3" t="s">
        <v>1130</v>
      </c>
      <c r="K1077" s="3" t="s">
        <v>662</v>
      </c>
      <c r="L1077" s="4">
        <v>0.35000000000000003</v>
      </c>
      <c r="M1077" s="3" t="s">
        <v>1131</v>
      </c>
      <c r="N1077" s="3" t="s">
        <v>24</v>
      </c>
      <c r="O1077" s="3" t="s">
        <v>25</v>
      </c>
    </row>
    <row r="1078" spans="1:15">
      <c r="A1078" s="3" t="s">
        <v>15</v>
      </c>
      <c r="B1078" s="3" t="str">
        <f>"FES1162740698"</f>
        <v>FES1162740698</v>
      </c>
      <c r="C1078" s="3" t="s">
        <v>363</v>
      </c>
      <c r="D1078" s="3">
        <v>1</v>
      </c>
      <c r="E1078" s="3" t="str">
        <f>"2170732347"</f>
        <v>2170732347</v>
      </c>
      <c r="F1078" s="3" t="s">
        <v>17</v>
      </c>
      <c r="G1078" s="3" t="s">
        <v>18</v>
      </c>
      <c r="H1078" s="3" t="s">
        <v>66</v>
      </c>
      <c r="I1078" s="3" t="s">
        <v>67</v>
      </c>
      <c r="J1078" s="3" t="s">
        <v>278</v>
      </c>
      <c r="K1078" s="3" t="s">
        <v>662</v>
      </c>
      <c r="L1078" s="4">
        <v>0.43194444444444446</v>
      </c>
      <c r="M1078" s="3" t="s">
        <v>1019</v>
      </c>
      <c r="N1078" s="3" t="s">
        <v>24</v>
      </c>
      <c r="O1078" s="3" t="s">
        <v>25</v>
      </c>
    </row>
    <row r="1079" spans="1:15">
      <c r="A1079" s="3" t="s">
        <v>15</v>
      </c>
      <c r="B1079" s="3" t="str">
        <f>"FES1162740685"</f>
        <v>FES1162740685</v>
      </c>
      <c r="C1079" s="3" t="s">
        <v>363</v>
      </c>
      <c r="D1079" s="3">
        <v>1</v>
      </c>
      <c r="E1079" s="3" t="str">
        <f>"2170732331"</f>
        <v>2170732331</v>
      </c>
      <c r="F1079" s="3" t="s">
        <v>17</v>
      </c>
      <c r="G1079" s="3" t="s">
        <v>18</v>
      </c>
      <c r="H1079" s="3" t="s">
        <v>18</v>
      </c>
      <c r="I1079" s="3" t="s">
        <v>341</v>
      </c>
      <c r="J1079" s="3" t="s">
        <v>900</v>
      </c>
      <c r="K1079" s="3" t="s">
        <v>662</v>
      </c>
      <c r="L1079" s="4">
        <v>0.61458333333333337</v>
      </c>
      <c r="M1079" s="3" t="s">
        <v>200</v>
      </c>
      <c r="N1079" s="3" t="s">
        <v>24</v>
      </c>
      <c r="O1079" s="3" t="s">
        <v>25</v>
      </c>
    </row>
    <row r="1080" spans="1:15">
      <c r="A1080" s="3" t="s">
        <v>15</v>
      </c>
      <c r="B1080" s="3" t="str">
        <f>"FES1162740689"</f>
        <v>FES1162740689</v>
      </c>
      <c r="C1080" s="3" t="s">
        <v>363</v>
      </c>
      <c r="D1080" s="3">
        <v>1</v>
      </c>
      <c r="E1080" s="3" t="str">
        <f>"21707323353"</f>
        <v>21707323353</v>
      </c>
      <c r="F1080" s="3" t="s">
        <v>17</v>
      </c>
      <c r="G1080" s="3" t="s">
        <v>18</v>
      </c>
      <c r="H1080" s="3" t="s">
        <v>66</v>
      </c>
      <c r="I1080" s="3" t="s">
        <v>67</v>
      </c>
      <c r="J1080" s="3" t="s">
        <v>278</v>
      </c>
      <c r="K1080" s="3" t="s">
        <v>662</v>
      </c>
      <c r="L1080" s="4">
        <v>0.43194444444444446</v>
      </c>
      <c r="M1080" s="3" t="s">
        <v>1019</v>
      </c>
      <c r="N1080" s="3" t="s">
        <v>24</v>
      </c>
      <c r="O1080" s="3" t="s">
        <v>25</v>
      </c>
    </row>
    <row r="1081" spans="1:15">
      <c r="A1081" s="3" t="s">
        <v>15</v>
      </c>
      <c r="B1081" s="3" t="str">
        <f>"FES1162740727"</f>
        <v>FES1162740727</v>
      </c>
      <c r="C1081" s="3" t="s">
        <v>363</v>
      </c>
      <c r="D1081" s="3">
        <v>1</v>
      </c>
      <c r="E1081" s="3" t="str">
        <f>"2170732375"</f>
        <v>2170732375</v>
      </c>
      <c r="F1081" s="3" t="s">
        <v>17</v>
      </c>
      <c r="G1081" s="3" t="s">
        <v>18</v>
      </c>
      <c r="H1081" s="3" t="s">
        <v>19</v>
      </c>
      <c r="I1081" s="3" t="s">
        <v>51</v>
      </c>
      <c r="J1081" s="3" t="s">
        <v>89</v>
      </c>
      <c r="K1081" s="3" t="s">
        <v>662</v>
      </c>
      <c r="L1081" s="4">
        <v>0.36319444444444443</v>
      </c>
      <c r="M1081" s="3" t="s">
        <v>1132</v>
      </c>
      <c r="N1081" s="3" t="s">
        <v>24</v>
      </c>
      <c r="O1081" s="3" t="s">
        <v>25</v>
      </c>
    </row>
    <row r="1082" spans="1:15">
      <c r="A1082" s="3" t="s">
        <v>15</v>
      </c>
      <c r="B1082" s="3" t="str">
        <f>"FES1162740707"</f>
        <v>FES1162740707</v>
      </c>
      <c r="C1082" s="3" t="s">
        <v>363</v>
      </c>
      <c r="D1082" s="3">
        <v>1</v>
      </c>
      <c r="E1082" s="3" t="str">
        <f>"2170732356"</f>
        <v>2170732356</v>
      </c>
      <c r="F1082" s="3" t="s">
        <v>17</v>
      </c>
      <c r="G1082" s="3" t="s">
        <v>18</v>
      </c>
      <c r="H1082" s="3" t="s">
        <v>19</v>
      </c>
      <c r="I1082" s="3" t="s">
        <v>20</v>
      </c>
      <c r="J1082" s="3" t="s">
        <v>56</v>
      </c>
      <c r="K1082" s="3" t="s">
        <v>662</v>
      </c>
      <c r="L1082" s="4">
        <v>0.35347222222222219</v>
      </c>
      <c r="M1082" s="3" t="s">
        <v>57</v>
      </c>
      <c r="N1082" s="3" t="s">
        <v>24</v>
      </c>
      <c r="O1082" s="3" t="s">
        <v>25</v>
      </c>
    </row>
    <row r="1083" spans="1:15">
      <c r="A1083" s="3" t="s">
        <v>15</v>
      </c>
      <c r="B1083" s="3" t="str">
        <f>"FES1162740716"</f>
        <v>FES1162740716</v>
      </c>
      <c r="C1083" s="3" t="s">
        <v>363</v>
      </c>
      <c r="D1083" s="3">
        <v>1</v>
      </c>
      <c r="E1083" s="3" t="str">
        <f>"21707232365"</f>
        <v>21707232365</v>
      </c>
      <c r="F1083" s="3" t="s">
        <v>17</v>
      </c>
      <c r="G1083" s="3" t="s">
        <v>18</v>
      </c>
      <c r="H1083" s="3" t="s">
        <v>100</v>
      </c>
      <c r="I1083" s="3" t="s">
        <v>101</v>
      </c>
      <c r="J1083" s="3" t="s">
        <v>491</v>
      </c>
      <c r="K1083" s="3" t="s">
        <v>662</v>
      </c>
      <c r="L1083" s="4">
        <v>0.37986111111111115</v>
      </c>
      <c r="M1083" s="3" t="s">
        <v>1133</v>
      </c>
      <c r="N1083" s="3" t="s">
        <v>24</v>
      </c>
      <c r="O1083" s="3" t="s">
        <v>25</v>
      </c>
    </row>
    <row r="1084" spans="1:15">
      <c r="A1084" s="3" t="s">
        <v>15</v>
      </c>
      <c r="B1084" s="3" t="str">
        <f>"FES1162740714"</f>
        <v>FES1162740714</v>
      </c>
      <c r="C1084" s="3" t="s">
        <v>363</v>
      </c>
      <c r="D1084" s="3">
        <v>1</v>
      </c>
      <c r="E1084" s="3" t="str">
        <f>"2170732361"</f>
        <v>2170732361</v>
      </c>
      <c r="F1084" s="3" t="s">
        <v>17</v>
      </c>
      <c r="G1084" s="3" t="s">
        <v>18</v>
      </c>
      <c r="H1084" s="3" t="s">
        <v>19</v>
      </c>
      <c r="I1084" s="3" t="s">
        <v>51</v>
      </c>
      <c r="J1084" s="3" t="s">
        <v>52</v>
      </c>
      <c r="K1084" s="3" t="s">
        <v>662</v>
      </c>
      <c r="L1084" s="4">
        <v>0.33958333333333335</v>
      </c>
      <c r="M1084" s="3" t="s">
        <v>53</v>
      </c>
      <c r="N1084" s="3" t="s">
        <v>24</v>
      </c>
      <c r="O1084" s="3" t="s">
        <v>25</v>
      </c>
    </row>
    <row r="1085" spans="1:15">
      <c r="A1085" s="3" t="s">
        <v>15</v>
      </c>
      <c r="B1085" s="3" t="str">
        <f>"FES1162740715"</f>
        <v>FES1162740715</v>
      </c>
      <c r="C1085" s="3" t="s">
        <v>363</v>
      </c>
      <c r="D1085" s="3">
        <v>1</v>
      </c>
      <c r="E1085" s="3" t="str">
        <f>"21707325362"</f>
        <v>21707325362</v>
      </c>
      <c r="F1085" s="3" t="s">
        <v>17</v>
      </c>
      <c r="G1085" s="3" t="s">
        <v>18</v>
      </c>
      <c r="H1085" s="3" t="s">
        <v>18</v>
      </c>
      <c r="I1085" s="3" t="s">
        <v>171</v>
      </c>
      <c r="J1085" s="3" t="s">
        <v>194</v>
      </c>
      <c r="K1085" s="3" t="s">
        <v>662</v>
      </c>
      <c r="L1085" s="4">
        <v>0.3743055555555555</v>
      </c>
      <c r="M1085" s="3" t="s">
        <v>1134</v>
      </c>
      <c r="N1085" s="3" t="s">
        <v>24</v>
      </c>
      <c r="O1085" s="3" t="s">
        <v>25</v>
      </c>
    </row>
    <row r="1086" spans="1:15">
      <c r="A1086" s="3" t="s">
        <v>15</v>
      </c>
      <c r="B1086" s="3" t="str">
        <f>"FES1162740667"</f>
        <v>FES1162740667</v>
      </c>
      <c r="C1086" s="3" t="s">
        <v>363</v>
      </c>
      <c r="D1086" s="3">
        <v>1</v>
      </c>
      <c r="E1086" s="3" t="str">
        <f>"2170723212"</f>
        <v>2170723212</v>
      </c>
      <c r="F1086" s="3" t="s">
        <v>17</v>
      </c>
      <c r="G1086" s="3" t="s">
        <v>18</v>
      </c>
      <c r="H1086" s="3" t="s">
        <v>18</v>
      </c>
      <c r="I1086" s="3" t="s">
        <v>33</v>
      </c>
      <c r="J1086" s="3" t="s">
        <v>1135</v>
      </c>
      <c r="K1086" s="3" t="s">
        <v>662</v>
      </c>
      <c r="L1086" s="4">
        <v>0.34583333333333338</v>
      </c>
      <c r="M1086" s="3" t="s">
        <v>1136</v>
      </c>
      <c r="N1086" s="3" t="s">
        <v>24</v>
      </c>
      <c r="O1086" s="3" t="s">
        <v>25</v>
      </c>
    </row>
    <row r="1087" spans="1:15">
      <c r="A1087" s="3" t="s">
        <v>15</v>
      </c>
      <c r="B1087" s="3" t="str">
        <f>"FES1162740676"</f>
        <v>FES1162740676</v>
      </c>
      <c r="C1087" s="3" t="s">
        <v>363</v>
      </c>
      <c r="D1087" s="3">
        <v>1</v>
      </c>
      <c r="E1087" s="3" t="str">
        <f>"2170731822"</f>
        <v>2170731822</v>
      </c>
      <c r="F1087" s="3" t="s">
        <v>17</v>
      </c>
      <c r="G1087" s="3" t="s">
        <v>18</v>
      </c>
      <c r="H1087" s="3" t="s">
        <v>100</v>
      </c>
      <c r="I1087" s="3" t="s">
        <v>101</v>
      </c>
      <c r="J1087" s="3" t="s">
        <v>789</v>
      </c>
      <c r="K1087" s="3" t="s">
        <v>1042</v>
      </c>
      <c r="L1087" s="4">
        <v>0.41666666666666669</v>
      </c>
      <c r="M1087" s="3" t="s">
        <v>1137</v>
      </c>
      <c r="N1087" s="3" t="s">
        <v>24</v>
      </c>
      <c r="O1087" s="3" t="s">
        <v>25</v>
      </c>
    </row>
    <row r="1088" spans="1:15">
      <c r="A1088" s="3" t="s">
        <v>15</v>
      </c>
      <c r="B1088" s="3" t="str">
        <f>"FES1162740703"</f>
        <v>FES1162740703</v>
      </c>
      <c r="C1088" s="3" t="s">
        <v>363</v>
      </c>
      <c r="D1088" s="3">
        <v>1</v>
      </c>
      <c r="E1088" s="3" t="str">
        <f>"217072352"</f>
        <v>217072352</v>
      </c>
      <c r="F1088" s="3" t="s">
        <v>17</v>
      </c>
      <c r="G1088" s="3" t="s">
        <v>18</v>
      </c>
      <c r="H1088" s="3" t="s">
        <v>537</v>
      </c>
      <c r="I1088" s="3" t="s">
        <v>538</v>
      </c>
      <c r="J1088" s="3" t="s">
        <v>1106</v>
      </c>
      <c r="K1088" s="3" t="s">
        <v>662</v>
      </c>
      <c r="L1088" s="4">
        <v>0.42083333333333334</v>
      </c>
      <c r="M1088" s="3" t="s">
        <v>1107</v>
      </c>
      <c r="N1088" s="3" t="s">
        <v>24</v>
      </c>
      <c r="O1088" s="3" t="s">
        <v>25</v>
      </c>
    </row>
    <row r="1089" spans="1:15">
      <c r="A1089" s="3" t="s">
        <v>15</v>
      </c>
      <c r="B1089" s="3" t="str">
        <f>"FES1162740694"</f>
        <v>FES1162740694</v>
      </c>
      <c r="C1089" s="3" t="s">
        <v>363</v>
      </c>
      <c r="D1089" s="3">
        <v>1</v>
      </c>
      <c r="E1089" s="3" t="str">
        <f>"217072339"</f>
        <v>217072339</v>
      </c>
      <c r="F1089" s="3" t="s">
        <v>17</v>
      </c>
      <c r="G1089" s="3" t="s">
        <v>18</v>
      </c>
      <c r="H1089" s="3" t="s">
        <v>18</v>
      </c>
      <c r="I1089" s="3" t="s">
        <v>171</v>
      </c>
      <c r="J1089" s="3" t="s">
        <v>197</v>
      </c>
      <c r="K1089" s="3" t="s">
        <v>662</v>
      </c>
      <c r="L1089" s="4">
        <v>0.3347222222222222</v>
      </c>
      <c r="M1089" s="3" t="s">
        <v>1138</v>
      </c>
      <c r="N1089" s="3" t="s">
        <v>24</v>
      </c>
      <c r="O1089" s="3" t="s">
        <v>25</v>
      </c>
    </row>
    <row r="1090" spans="1:15">
      <c r="A1090" s="3" t="s">
        <v>15</v>
      </c>
      <c r="B1090" s="3" t="str">
        <f>"FES1162740701"</f>
        <v>FES1162740701</v>
      </c>
      <c r="C1090" s="3" t="s">
        <v>363</v>
      </c>
      <c r="D1090" s="3">
        <v>1</v>
      </c>
      <c r="E1090" s="3" t="str">
        <f>"2170732348"</f>
        <v>2170732348</v>
      </c>
      <c r="F1090" s="3" t="s">
        <v>17</v>
      </c>
      <c r="G1090" s="3" t="s">
        <v>18</v>
      </c>
      <c r="H1090" s="3" t="s">
        <v>19</v>
      </c>
      <c r="I1090" s="3" t="s">
        <v>236</v>
      </c>
      <c r="J1090" s="3" t="s">
        <v>1139</v>
      </c>
      <c r="K1090" s="3" t="s">
        <v>662</v>
      </c>
      <c r="L1090" s="4">
        <v>0.37916666666666665</v>
      </c>
      <c r="M1090" s="3" t="s">
        <v>1140</v>
      </c>
      <c r="N1090" s="3" t="s">
        <v>24</v>
      </c>
      <c r="O1090" s="3" t="s">
        <v>25</v>
      </c>
    </row>
    <row r="1091" spans="1:15">
      <c r="A1091" s="3" t="s">
        <v>15</v>
      </c>
      <c r="B1091" s="3" t="str">
        <f>"FES1162740705"</f>
        <v>FES1162740705</v>
      </c>
      <c r="C1091" s="3" t="s">
        <v>363</v>
      </c>
      <c r="D1091" s="3">
        <v>1</v>
      </c>
      <c r="E1091" s="3" t="str">
        <f>"2170732354"</f>
        <v>2170732354</v>
      </c>
      <c r="F1091" s="3" t="s">
        <v>17</v>
      </c>
      <c r="G1091" s="3" t="s">
        <v>18</v>
      </c>
      <c r="H1091" s="3" t="s">
        <v>19</v>
      </c>
      <c r="I1091" s="3" t="s">
        <v>20</v>
      </c>
      <c r="J1091" s="3" t="s">
        <v>104</v>
      </c>
      <c r="K1091" s="3" t="s">
        <v>662</v>
      </c>
      <c r="L1091" s="4">
        <v>0.45416666666666666</v>
      </c>
      <c r="M1091" s="3" t="s">
        <v>105</v>
      </c>
      <c r="N1091" s="3" t="s">
        <v>24</v>
      </c>
      <c r="O1091" s="3" t="s">
        <v>25</v>
      </c>
    </row>
    <row r="1092" spans="1:15">
      <c r="A1092" s="3" t="s">
        <v>15</v>
      </c>
      <c r="B1092" s="3" t="str">
        <f>"FES1162740699"</f>
        <v>FES1162740699</v>
      </c>
      <c r="C1092" s="3" t="s">
        <v>363</v>
      </c>
      <c r="D1092" s="3">
        <v>1</v>
      </c>
      <c r="E1092" s="3" t="str">
        <f>"2170728966"</f>
        <v>2170728966</v>
      </c>
      <c r="F1092" s="3" t="s">
        <v>17</v>
      </c>
      <c r="G1092" s="3" t="s">
        <v>18</v>
      </c>
      <c r="H1092" s="3" t="s">
        <v>100</v>
      </c>
      <c r="I1092" s="3" t="s">
        <v>101</v>
      </c>
      <c r="J1092" s="3" t="s">
        <v>1111</v>
      </c>
      <c r="K1092" s="3" t="s">
        <v>662</v>
      </c>
      <c r="L1092" s="4">
        <v>0.3979166666666667</v>
      </c>
      <c r="M1092" s="3" t="s">
        <v>1112</v>
      </c>
      <c r="N1092" s="3" t="s">
        <v>24</v>
      </c>
      <c r="O1092" s="3" t="s">
        <v>25</v>
      </c>
    </row>
    <row r="1093" spans="1:15">
      <c r="A1093" s="3" t="s">
        <v>15</v>
      </c>
      <c r="B1093" s="3" t="str">
        <f>"FES1162740700"</f>
        <v>FES1162740700</v>
      </c>
      <c r="C1093" s="3" t="s">
        <v>363</v>
      </c>
      <c r="D1093" s="3">
        <v>1</v>
      </c>
      <c r="E1093" s="3" t="str">
        <f>"2170732081"</f>
        <v>2170732081</v>
      </c>
      <c r="F1093" s="3" t="s">
        <v>17</v>
      </c>
      <c r="G1093" s="3" t="s">
        <v>18</v>
      </c>
      <c r="H1093" s="3" t="s">
        <v>19</v>
      </c>
      <c r="I1093" s="3" t="s">
        <v>236</v>
      </c>
      <c r="J1093" s="3" t="s">
        <v>257</v>
      </c>
      <c r="K1093" s="3" t="s">
        <v>662</v>
      </c>
      <c r="L1093" s="4">
        <v>0.38055555555555554</v>
      </c>
      <c r="M1093" s="3" t="s">
        <v>819</v>
      </c>
      <c r="N1093" s="3" t="s">
        <v>24</v>
      </c>
      <c r="O1093" s="3" t="s">
        <v>25</v>
      </c>
    </row>
    <row r="1094" spans="1:15">
      <c r="A1094" s="3" t="s">
        <v>15</v>
      </c>
      <c r="B1094" s="3" t="str">
        <f>"FES1162740721"</f>
        <v>FES1162740721</v>
      </c>
      <c r="C1094" s="3" t="s">
        <v>363</v>
      </c>
      <c r="D1094" s="3">
        <v>1</v>
      </c>
      <c r="E1094" s="3" t="str">
        <f>"2170732368"</f>
        <v>2170732368</v>
      </c>
      <c r="F1094" s="3" t="s">
        <v>17</v>
      </c>
      <c r="G1094" s="3" t="s">
        <v>18</v>
      </c>
      <c r="H1094" s="3" t="s">
        <v>19</v>
      </c>
      <c r="I1094" s="3" t="s">
        <v>20</v>
      </c>
      <c r="J1094" s="3" t="s">
        <v>56</v>
      </c>
      <c r="K1094" s="3" t="s">
        <v>662</v>
      </c>
      <c r="L1094" s="4">
        <v>0.35347222222222219</v>
      </c>
      <c r="M1094" s="3" t="s">
        <v>57</v>
      </c>
      <c r="N1094" s="3" t="s">
        <v>24</v>
      </c>
      <c r="O1094" s="3" t="s">
        <v>25</v>
      </c>
    </row>
    <row r="1095" spans="1:15">
      <c r="A1095" s="3" t="s">
        <v>15</v>
      </c>
      <c r="B1095" s="3" t="str">
        <f>"FES1162740720"</f>
        <v>FES1162740720</v>
      </c>
      <c r="C1095" s="3" t="s">
        <v>363</v>
      </c>
      <c r="D1095" s="3">
        <v>1</v>
      </c>
      <c r="E1095" s="3" t="str">
        <f>"217072367"</f>
        <v>217072367</v>
      </c>
      <c r="F1095" s="3" t="s">
        <v>17</v>
      </c>
      <c r="G1095" s="3" t="s">
        <v>18</v>
      </c>
      <c r="H1095" s="3" t="s">
        <v>19</v>
      </c>
      <c r="I1095" s="3" t="s">
        <v>20</v>
      </c>
      <c r="J1095" s="3" t="s">
        <v>1141</v>
      </c>
      <c r="K1095" s="3" t="s">
        <v>662</v>
      </c>
      <c r="L1095" s="4">
        <v>0.34027777777777773</v>
      </c>
      <c r="M1095" s="3" t="s">
        <v>1142</v>
      </c>
      <c r="N1095" s="3" t="s">
        <v>24</v>
      </c>
      <c r="O1095" s="3" t="s">
        <v>25</v>
      </c>
    </row>
    <row r="1096" spans="1:15">
      <c r="A1096" s="3" t="s">
        <v>15</v>
      </c>
      <c r="B1096" s="3" t="str">
        <f>"FES1162740648"</f>
        <v>FES1162740648</v>
      </c>
      <c r="C1096" s="3" t="s">
        <v>363</v>
      </c>
      <c r="D1096" s="3">
        <v>1</v>
      </c>
      <c r="E1096" s="3" t="str">
        <f>"217072291"</f>
        <v>217072291</v>
      </c>
      <c r="F1096" s="3" t="s">
        <v>17</v>
      </c>
      <c r="G1096" s="3" t="s">
        <v>18</v>
      </c>
      <c r="H1096" s="3" t="s">
        <v>100</v>
      </c>
      <c r="I1096" s="3" t="s">
        <v>101</v>
      </c>
      <c r="J1096" s="3" t="s">
        <v>1143</v>
      </c>
      <c r="K1096" s="3" t="s">
        <v>662</v>
      </c>
      <c r="L1096" s="4">
        <v>0.3972222222222222</v>
      </c>
      <c r="M1096" s="3" t="s">
        <v>1144</v>
      </c>
      <c r="N1096" s="3" t="s">
        <v>24</v>
      </c>
      <c r="O1096" s="3" t="s">
        <v>25</v>
      </c>
    </row>
    <row r="1097" spans="1:15">
      <c r="A1097" s="3" t="s">
        <v>15</v>
      </c>
      <c r="B1097" s="3" t="str">
        <f>"FES1162740728"</f>
        <v>FES1162740728</v>
      </c>
      <c r="C1097" s="3" t="s">
        <v>363</v>
      </c>
      <c r="D1097" s="3">
        <v>1</v>
      </c>
      <c r="E1097" s="3" t="str">
        <f>"217072378"</f>
        <v>217072378</v>
      </c>
      <c r="F1097" s="3" t="s">
        <v>17</v>
      </c>
      <c r="G1097" s="3" t="s">
        <v>18</v>
      </c>
      <c r="H1097" s="3" t="s">
        <v>36</v>
      </c>
      <c r="I1097" s="3" t="s">
        <v>37</v>
      </c>
      <c r="J1097" s="3" t="s">
        <v>260</v>
      </c>
      <c r="K1097" s="3" t="s">
        <v>662</v>
      </c>
      <c r="L1097" s="4">
        <v>0.3611111111111111</v>
      </c>
      <c r="M1097" s="3" t="s">
        <v>788</v>
      </c>
      <c r="N1097" s="3" t="s">
        <v>24</v>
      </c>
      <c r="O1097" s="3" t="s">
        <v>25</v>
      </c>
    </row>
    <row r="1098" spans="1:15">
      <c r="A1098" s="3" t="s">
        <v>15</v>
      </c>
      <c r="B1098" s="3" t="str">
        <f>"FES1162740711"</f>
        <v>FES1162740711</v>
      </c>
      <c r="C1098" s="3" t="s">
        <v>363</v>
      </c>
      <c r="D1098" s="3">
        <v>1</v>
      </c>
      <c r="E1098" s="3" t="str">
        <f>"217072357"</f>
        <v>217072357</v>
      </c>
      <c r="F1098" s="3" t="s">
        <v>17</v>
      </c>
      <c r="G1098" s="3" t="s">
        <v>18</v>
      </c>
      <c r="H1098" s="3" t="s">
        <v>46</v>
      </c>
      <c r="I1098" s="3" t="s">
        <v>47</v>
      </c>
      <c r="J1098" s="3" t="s">
        <v>48</v>
      </c>
      <c r="K1098" s="3" t="s">
        <v>662</v>
      </c>
      <c r="L1098" s="4">
        <v>0.40208333333333335</v>
      </c>
      <c r="M1098" s="3" t="s">
        <v>1025</v>
      </c>
      <c r="N1098" s="3" t="s">
        <v>24</v>
      </c>
      <c r="O1098" s="3" t="s">
        <v>25</v>
      </c>
    </row>
    <row r="1099" spans="1:15">
      <c r="A1099" s="3" t="s">
        <v>15</v>
      </c>
      <c r="B1099" s="3" t="str">
        <f>"FES1162740733"</f>
        <v>FES1162740733</v>
      </c>
      <c r="C1099" s="3" t="s">
        <v>363</v>
      </c>
      <c r="D1099" s="3">
        <v>1</v>
      </c>
      <c r="E1099" s="3" t="str">
        <f>"217073284"</f>
        <v>217073284</v>
      </c>
      <c r="F1099" s="3" t="s">
        <v>17</v>
      </c>
      <c r="G1099" s="3" t="s">
        <v>18</v>
      </c>
      <c r="H1099" s="3" t="s">
        <v>19</v>
      </c>
      <c r="I1099" s="3" t="s">
        <v>51</v>
      </c>
      <c r="J1099" s="3" t="s">
        <v>89</v>
      </c>
      <c r="K1099" s="3" t="s">
        <v>662</v>
      </c>
      <c r="L1099" s="4">
        <v>0.36319444444444443</v>
      </c>
      <c r="M1099" s="3" t="s">
        <v>1132</v>
      </c>
      <c r="N1099" s="3" t="s">
        <v>24</v>
      </c>
      <c r="O1099" s="3" t="s">
        <v>25</v>
      </c>
    </row>
    <row r="1100" spans="1:15">
      <c r="A1100" s="3" t="s">
        <v>15</v>
      </c>
      <c r="B1100" s="3" t="str">
        <f>"FES1162740735"</f>
        <v>FES1162740735</v>
      </c>
      <c r="C1100" s="3" t="s">
        <v>363</v>
      </c>
      <c r="D1100" s="3">
        <v>1</v>
      </c>
      <c r="E1100" s="3" t="str">
        <f>"217072386"</f>
        <v>217072386</v>
      </c>
      <c r="F1100" s="3" t="s">
        <v>17</v>
      </c>
      <c r="G1100" s="3" t="s">
        <v>18</v>
      </c>
      <c r="H1100" s="3" t="s">
        <v>100</v>
      </c>
      <c r="I1100" s="3" t="s">
        <v>101</v>
      </c>
      <c r="J1100" s="3" t="s">
        <v>137</v>
      </c>
      <c r="K1100" s="3" t="s">
        <v>662</v>
      </c>
      <c r="L1100" s="4">
        <v>0.4375</v>
      </c>
      <c r="M1100" s="3" t="s">
        <v>371</v>
      </c>
      <c r="N1100" s="3" t="s">
        <v>24</v>
      </c>
      <c r="O1100" s="3" t="s">
        <v>25</v>
      </c>
    </row>
    <row r="1101" spans="1:15">
      <c r="A1101" s="3" t="s">
        <v>15</v>
      </c>
      <c r="B1101" s="3" t="str">
        <f>"FES1162740738"</f>
        <v>FES1162740738</v>
      </c>
      <c r="C1101" s="3" t="s">
        <v>363</v>
      </c>
      <c r="D1101" s="3">
        <v>1</v>
      </c>
      <c r="E1101" s="3" t="str">
        <f>"2170727858"</f>
        <v>2170727858</v>
      </c>
      <c r="F1101" s="3" t="s">
        <v>17</v>
      </c>
      <c r="G1101" s="3" t="s">
        <v>18</v>
      </c>
      <c r="H1101" s="3" t="s">
        <v>100</v>
      </c>
      <c r="I1101" s="3" t="s">
        <v>117</v>
      </c>
      <c r="J1101" s="3" t="s">
        <v>335</v>
      </c>
      <c r="K1101" s="3" t="s">
        <v>662</v>
      </c>
      <c r="L1101" s="4">
        <v>0.50208333333333333</v>
      </c>
      <c r="M1101" s="3" t="s">
        <v>336</v>
      </c>
      <c r="N1101" s="3" t="s">
        <v>24</v>
      </c>
      <c r="O1101" s="3" t="s">
        <v>25</v>
      </c>
    </row>
    <row r="1102" spans="1:15">
      <c r="A1102" s="5" t="s">
        <v>15</v>
      </c>
      <c r="B1102" s="5" t="str">
        <f>"FES1162740719"</f>
        <v>FES1162740719</v>
      </c>
      <c r="C1102" s="5" t="s">
        <v>363</v>
      </c>
      <c r="D1102" s="5">
        <v>1</v>
      </c>
      <c r="E1102" s="5" t="str">
        <f>"217072366"</f>
        <v>217072366</v>
      </c>
      <c r="F1102" s="5" t="s">
        <v>17</v>
      </c>
      <c r="G1102" s="5" t="s">
        <v>18</v>
      </c>
      <c r="H1102" s="5" t="s">
        <v>36</v>
      </c>
      <c r="I1102" s="5" t="s">
        <v>1145</v>
      </c>
      <c r="J1102" s="5" t="s">
        <v>1146</v>
      </c>
      <c r="K1102" s="5" t="s">
        <v>662</v>
      </c>
      <c r="L1102" s="5" t="s">
        <v>1147</v>
      </c>
      <c r="M1102" s="5" t="s">
        <v>1148</v>
      </c>
      <c r="N1102" s="5" t="s">
        <v>24</v>
      </c>
      <c r="O1102" s="5" t="s">
        <v>25</v>
      </c>
    </row>
    <row r="1103" spans="1:15">
      <c r="A1103" s="5" t="s">
        <v>15</v>
      </c>
      <c r="B1103" s="5" t="str">
        <f>"FES1162740741"</f>
        <v>FES1162740741</v>
      </c>
      <c r="C1103" s="5" t="s">
        <v>363</v>
      </c>
      <c r="D1103" s="5">
        <v>1</v>
      </c>
      <c r="E1103" s="5" t="str">
        <f>"2170723920"</f>
        <v>2170723920</v>
      </c>
      <c r="F1103" s="5" t="s">
        <v>17</v>
      </c>
      <c r="G1103" s="5" t="s">
        <v>18</v>
      </c>
      <c r="H1103" s="5" t="s">
        <v>36</v>
      </c>
      <c r="I1103" s="5" t="s">
        <v>37</v>
      </c>
      <c r="J1103" s="5" t="s">
        <v>133</v>
      </c>
      <c r="K1103" s="5" t="s">
        <v>662</v>
      </c>
      <c r="L1103" s="6">
        <v>0.39999999999999997</v>
      </c>
      <c r="M1103" s="5" t="s">
        <v>1149</v>
      </c>
      <c r="N1103" s="5" t="s">
        <v>24</v>
      </c>
      <c r="O1103" s="5" t="s">
        <v>25</v>
      </c>
    </row>
    <row r="1104" spans="1:15">
      <c r="A1104" s="5" t="s">
        <v>15</v>
      </c>
      <c r="B1104" s="5" t="str">
        <f>"FES1162740736"</f>
        <v>FES1162740736</v>
      </c>
      <c r="C1104" s="5" t="s">
        <v>363</v>
      </c>
      <c r="D1104" s="5">
        <v>1</v>
      </c>
      <c r="E1104" s="5" t="str">
        <f>"2170723287"</f>
        <v>2170723287</v>
      </c>
      <c r="F1104" s="5" t="s">
        <v>17</v>
      </c>
      <c r="G1104" s="5" t="s">
        <v>18</v>
      </c>
      <c r="H1104" s="5" t="s">
        <v>66</v>
      </c>
      <c r="I1104" s="5" t="s">
        <v>67</v>
      </c>
      <c r="J1104" s="5" t="s">
        <v>278</v>
      </c>
      <c r="K1104" s="5" t="s">
        <v>662</v>
      </c>
      <c r="L1104" s="6">
        <v>0.43194444444444446</v>
      </c>
      <c r="M1104" s="5" t="s">
        <v>1019</v>
      </c>
      <c r="N1104" s="5" t="s">
        <v>24</v>
      </c>
      <c r="O1104" s="5" t="s">
        <v>25</v>
      </c>
    </row>
    <row r="1105" spans="1:15">
      <c r="A1105" s="5" t="s">
        <v>15</v>
      </c>
      <c r="B1105" s="5" t="str">
        <f>"FES1162740743"</f>
        <v>FES1162740743</v>
      </c>
      <c r="C1105" s="5" t="s">
        <v>363</v>
      </c>
      <c r="D1105" s="5">
        <v>1</v>
      </c>
      <c r="E1105" s="5" t="str">
        <f>"2170732329"</f>
        <v>2170732329</v>
      </c>
      <c r="F1105" s="5" t="s">
        <v>528</v>
      </c>
      <c r="G1105" s="5" t="s">
        <v>948</v>
      </c>
      <c r="H1105" s="5" t="s">
        <v>46</v>
      </c>
      <c r="I1105" s="5" t="s">
        <v>47</v>
      </c>
      <c r="J1105" s="5" t="s">
        <v>239</v>
      </c>
      <c r="K1105" s="5" t="s">
        <v>662</v>
      </c>
      <c r="L1105" s="6">
        <v>0.43194444444444446</v>
      </c>
      <c r="M1105" s="5" t="s">
        <v>80</v>
      </c>
      <c r="N1105" s="5" t="s">
        <v>24</v>
      </c>
      <c r="O1105" s="5" t="s">
        <v>1150</v>
      </c>
    </row>
    <row r="1106" spans="1:15">
      <c r="A1106" s="5" t="s">
        <v>15</v>
      </c>
      <c r="B1106" s="5" t="str">
        <f>"FES1162740718"</f>
        <v>FES1162740718</v>
      </c>
      <c r="C1106" s="5" t="s">
        <v>363</v>
      </c>
      <c r="D1106" s="5">
        <v>1</v>
      </c>
      <c r="E1106" s="5" t="str">
        <f>"2170732363"</f>
        <v>2170732363</v>
      </c>
      <c r="F1106" s="5" t="s">
        <v>17</v>
      </c>
      <c r="G1106" s="5" t="s">
        <v>18</v>
      </c>
      <c r="H1106" s="5" t="s">
        <v>948</v>
      </c>
      <c r="I1106" s="5" t="s">
        <v>291</v>
      </c>
      <c r="J1106" s="5" t="s">
        <v>1151</v>
      </c>
      <c r="K1106" s="5" t="s">
        <v>662</v>
      </c>
      <c r="L1106" s="6">
        <v>0.33333333333333331</v>
      </c>
      <c r="M1106" s="5" t="s">
        <v>1152</v>
      </c>
      <c r="N1106" s="5" t="s">
        <v>24</v>
      </c>
      <c r="O1106" s="5" t="s">
        <v>25</v>
      </c>
    </row>
    <row r="1107" spans="1:15">
      <c r="A1107" s="5" t="s">
        <v>15</v>
      </c>
      <c r="B1107" s="5" t="str">
        <f>"FES1162740750"</f>
        <v>FES1162740750</v>
      </c>
      <c r="C1107" s="5" t="s">
        <v>363</v>
      </c>
      <c r="D1107" s="5">
        <v>1</v>
      </c>
      <c r="E1107" s="5" t="str">
        <f>"21707327401"</f>
        <v>21707327401</v>
      </c>
      <c r="F1107" s="5" t="s">
        <v>17</v>
      </c>
      <c r="G1107" s="5" t="s">
        <v>18</v>
      </c>
      <c r="H1107" s="5" t="s">
        <v>66</v>
      </c>
      <c r="I1107" s="5" t="s">
        <v>67</v>
      </c>
      <c r="J1107" s="5" t="s">
        <v>927</v>
      </c>
      <c r="K1107" s="5" t="s">
        <v>662</v>
      </c>
      <c r="L1107" s="6">
        <v>0.40277777777777773</v>
      </c>
      <c r="M1107" s="5" t="s">
        <v>1153</v>
      </c>
      <c r="N1107" s="5" t="s">
        <v>24</v>
      </c>
      <c r="O1107" s="5" t="s">
        <v>25</v>
      </c>
    </row>
    <row r="1108" spans="1:15">
      <c r="A1108" s="5" t="s">
        <v>15</v>
      </c>
      <c r="B1108" s="5" t="str">
        <f>"FES1162740749"</f>
        <v>FES1162740749</v>
      </c>
      <c r="C1108" s="5" t="s">
        <v>363</v>
      </c>
      <c r="D1108" s="5">
        <v>1</v>
      </c>
      <c r="E1108" s="5" t="str">
        <f>"2170732400"</f>
        <v>2170732400</v>
      </c>
      <c r="F1108" s="5" t="s">
        <v>17</v>
      </c>
      <c r="G1108" s="5" t="s">
        <v>18</v>
      </c>
      <c r="H1108" s="5" t="s">
        <v>66</v>
      </c>
      <c r="I1108" s="5" t="s">
        <v>67</v>
      </c>
      <c r="J1108" s="5" t="s">
        <v>644</v>
      </c>
      <c r="K1108" s="5" t="s">
        <v>662</v>
      </c>
      <c r="L1108" s="6">
        <v>0.43055555555555558</v>
      </c>
      <c r="M1108" s="5" t="s">
        <v>1154</v>
      </c>
      <c r="N1108" s="5" t="s">
        <v>24</v>
      </c>
      <c r="O1108" s="5" t="s">
        <v>25</v>
      </c>
    </row>
    <row r="1109" spans="1:15">
      <c r="A1109" s="5" t="s">
        <v>15</v>
      </c>
      <c r="B1109" s="5" t="str">
        <f>"FES1162740726"</f>
        <v>FES1162740726</v>
      </c>
      <c r="C1109" s="5" t="s">
        <v>363</v>
      </c>
      <c r="D1109" s="5">
        <v>1</v>
      </c>
      <c r="E1109" s="5" t="str">
        <f>"2170732374"</f>
        <v>2170732374</v>
      </c>
      <c r="F1109" s="5" t="s">
        <v>17</v>
      </c>
      <c r="G1109" s="5" t="s">
        <v>18</v>
      </c>
      <c r="H1109" s="5" t="s">
        <v>100</v>
      </c>
      <c r="I1109" s="5" t="s">
        <v>101</v>
      </c>
      <c r="J1109" s="5" t="s">
        <v>127</v>
      </c>
      <c r="K1109" s="5" t="s">
        <v>662</v>
      </c>
      <c r="L1109" s="6">
        <v>0.35069444444444442</v>
      </c>
      <c r="M1109" s="5" t="s">
        <v>1155</v>
      </c>
      <c r="N1109" s="5" t="s">
        <v>24</v>
      </c>
      <c r="O1109" s="5" t="s">
        <v>25</v>
      </c>
    </row>
    <row r="1110" spans="1:15">
      <c r="A1110" s="5" t="s">
        <v>15</v>
      </c>
      <c r="B1110" s="5" t="str">
        <f>"FES1162740747"</f>
        <v>FES1162740747</v>
      </c>
      <c r="C1110" s="5" t="s">
        <v>363</v>
      </c>
      <c r="D1110" s="5">
        <v>1</v>
      </c>
      <c r="E1110" s="5" t="str">
        <f>"217072396"</f>
        <v>217072396</v>
      </c>
      <c r="F1110" s="5" t="s">
        <v>17</v>
      </c>
      <c r="G1110" s="5" t="s">
        <v>18</v>
      </c>
      <c r="H1110" s="5" t="s">
        <v>100</v>
      </c>
      <c r="I1110" s="5" t="s">
        <v>101</v>
      </c>
      <c r="J1110" s="5" t="s">
        <v>653</v>
      </c>
      <c r="K1110" s="5" t="s">
        <v>662</v>
      </c>
      <c r="L1110" s="6">
        <v>0.39027777777777778</v>
      </c>
      <c r="M1110" s="5" t="s">
        <v>654</v>
      </c>
      <c r="N1110" s="5" t="s">
        <v>24</v>
      </c>
      <c r="O1110" s="5" t="s">
        <v>25</v>
      </c>
    </row>
    <row r="1111" spans="1:15">
      <c r="A1111" s="5" t="s">
        <v>15</v>
      </c>
      <c r="B1111" s="5" t="str">
        <f>"FES1162740717"</f>
        <v>FES1162740717</v>
      </c>
      <c r="C1111" s="5" t="s">
        <v>363</v>
      </c>
      <c r="D1111" s="5">
        <v>1</v>
      </c>
      <c r="E1111" s="5" t="str">
        <f>"2170732123"</f>
        <v>2170732123</v>
      </c>
      <c r="F1111" s="5" t="s">
        <v>17</v>
      </c>
      <c r="G1111" s="5" t="s">
        <v>18</v>
      </c>
      <c r="H1111" s="5" t="s">
        <v>100</v>
      </c>
      <c r="I1111" s="5" t="s">
        <v>101</v>
      </c>
      <c r="J1111" s="5" t="s">
        <v>1156</v>
      </c>
      <c r="K1111" s="5" t="s">
        <v>662</v>
      </c>
      <c r="L1111" s="6">
        <v>0.40416666666666662</v>
      </c>
      <c r="M1111" s="5" t="s">
        <v>1157</v>
      </c>
      <c r="N1111" s="5" t="s">
        <v>24</v>
      </c>
      <c r="O1111" s="5" t="s">
        <v>25</v>
      </c>
    </row>
    <row r="1112" spans="1:15">
      <c r="A1112" s="5" t="s">
        <v>15</v>
      </c>
      <c r="B1112" s="5" t="str">
        <f>"FES1162740739"</f>
        <v>FES1162740739</v>
      </c>
      <c r="C1112" s="5" t="s">
        <v>363</v>
      </c>
      <c r="D1112" s="5">
        <v>1</v>
      </c>
      <c r="E1112" s="5" t="str">
        <f>"2170732388"</f>
        <v>2170732388</v>
      </c>
      <c r="F1112" s="5" t="s">
        <v>17</v>
      </c>
      <c r="G1112" s="5" t="s">
        <v>18</v>
      </c>
      <c r="H1112" s="5" t="s">
        <v>19</v>
      </c>
      <c r="I1112" s="5" t="s">
        <v>51</v>
      </c>
      <c r="J1112" s="5" t="s">
        <v>89</v>
      </c>
      <c r="K1112" s="5" t="s">
        <v>662</v>
      </c>
      <c r="L1112" s="6">
        <v>0.36319444444444443</v>
      </c>
      <c r="M1112" s="5" t="s">
        <v>1132</v>
      </c>
      <c r="N1112" s="5" t="s">
        <v>24</v>
      </c>
      <c r="O1112" s="5" t="s">
        <v>25</v>
      </c>
    </row>
    <row r="1113" spans="1:15">
      <c r="A1113" s="3" t="s">
        <v>15</v>
      </c>
      <c r="B1113" s="3" t="str">
        <f>"FES1162740756"</f>
        <v>FES1162740756</v>
      </c>
      <c r="C1113" s="3" t="s">
        <v>363</v>
      </c>
      <c r="D1113" s="3">
        <v>1</v>
      </c>
      <c r="E1113" s="3" t="str">
        <f>"217073405"</f>
        <v>217073405</v>
      </c>
      <c r="F1113" s="3" t="s">
        <v>17</v>
      </c>
      <c r="G1113" s="3" t="s">
        <v>18</v>
      </c>
      <c r="H1113" s="3" t="s">
        <v>100</v>
      </c>
      <c r="I1113" s="3" t="s">
        <v>117</v>
      </c>
      <c r="J1113" s="3" t="s">
        <v>335</v>
      </c>
      <c r="K1113" s="3" t="s">
        <v>662</v>
      </c>
      <c r="L1113" s="4">
        <v>0.50208333333333333</v>
      </c>
      <c r="M1113" s="3" t="s">
        <v>336</v>
      </c>
      <c r="N1113" s="3" t="s">
        <v>24</v>
      </c>
      <c r="O1113" s="3" t="s">
        <v>25</v>
      </c>
    </row>
    <row r="1114" spans="1:15">
      <c r="A1114" s="3" t="s">
        <v>15</v>
      </c>
      <c r="B1114" s="3" t="str">
        <f>"FES1162740758"</f>
        <v>FES1162740758</v>
      </c>
      <c r="C1114" s="3" t="s">
        <v>363</v>
      </c>
      <c r="D1114" s="3">
        <v>1</v>
      </c>
      <c r="E1114" s="3" t="str">
        <f>"2170732408"</f>
        <v>2170732408</v>
      </c>
      <c r="F1114" s="3" t="s">
        <v>17</v>
      </c>
      <c r="G1114" s="3" t="s">
        <v>18</v>
      </c>
      <c r="H1114" s="3" t="s">
        <v>100</v>
      </c>
      <c r="I1114" s="3" t="s">
        <v>101</v>
      </c>
      <c r="J1114" s="3" t="s">
        <v>265</v>
      </c>
      <c r="K1114" s="3" t="s">
        <v>662</v>
      </c>
      <c r="L1114" s="4">
        <v>0.33680555555555558</v>
      </c>
      <c r="M1114" s="3" t="s">
        <v>1158</v>
      </c>
      <c r="N1114" s="3" t="s">
        <v>24</v>
      </c>
      <c r="O1114" s="3" t="s">
        <v>25</v>
      </c>
    </row>
    <row r="1115" spans="1:15">
      <c r="A1115" s="3" t="s">
        <v>15</v>
      </c>
      <c r="B1115" s="3" t="str">
        <f>"FES1162740751"</f>
        <v>FES1162740751</v>
      </c>
      <c r="C1115" s="3" t="s">
        <v>363</v>
      </c>
      <c r="D1115" s="3">
        <v>1</v>
      </c>
      <c r="E1115" s="3" t="str">
        <f>"2170732402"</f>
        <v>2170732402</v>
      </c>
      <c r="F1115" s="3" t="s">
        <v>17</v>
      </c>
      <c r="G1115" s="3" t="s">
        <v>18</v>
      </c>
      <c r="H1115" s="3" t="s">
        <v>18</v>
      </c>
      <c r="I1115" s="3" t="s">
        <v>903</v>
      </c>
      <c r="J1115" s="3" t="s">
        <v>1159</v>
      </c>
      <c r="K1115" s="3" t="s">
        <v>662</v>
      </c>
      <c r="L1115" s="4">
        <v>0.33333333333333331</v>
      </c>
      <c r="M1115" s="3" t="s">
        <v>247</v>
      </c>
      <c r="N1115" s="3" t="s">
        <v>24</v>
      </c>
      <c r="O1115" s="3" t="s">
        <v>25</v>
      </c>
    </row>
    <row r="1116" spans="1:15">
      <c r="A1116" s="3" t="s">
        <v>15</v>
      </c>
      <c r="B1116" s="3" t="str">
        <f>"FES1162740745"</f>
        <v>FES1162740745</v>
      </c>
      <c r="C1116" s="3" t="s">
        <v>363</v>
      </c>
      <c r="D1116" s="3">
        <v>1</v>
      </c>
      <c r="E1116" s="3" t="str">
        <f>"2170732394"</f>
        <v>2170732394</v>
      </c>
      <c r="F1116" s="3" t="s">
        <v>528</v>
      </c>
      <c r="G1116" s="3" t="s">
        <v>948</v>
      </c>
      <c r="H1116" s="3" t="s">
        <v>948</v>
      </c>
      <c r="I1116" s="3" t="s">
        <v>151</v>
      </c>
      <c r="J1116" s="3" t="s">
        <v>1160</v>
      </c>
      <c r="K1116" s="3" t="s">
        <v>662</v>
      </c>
      <c r="L1116" s="4">
        <v>0.33333333333333331</v>
      </c>
      <c r="M1116" s="3" t="s">
        <v>1161</v>
      </c>
      <c r="N1116" s="3" t="s">
        <v>24</v>
      </c>
      <c r="O1116" s="3" t="s">
        <v>317</v>
      </c>
    </row>
    <row r="1117" spans="1:15">
      <c r="A1117" s="3" t="s">
        <v>15</v>
      </c>
      <c r="B1117" s="3" t="str">
        <f>"FES1162740722"</f>
        <v>FES1162740722</v>
      </c>
      <c r="C1117" s="3" t="s">
        <v>363</v>
      </c>
      <c r="D1117" s="3">
        <v>1</v>
      </c>
      <c r="E1117" s="3" t="str">
        <f>"2170732369"</f>
        <v>2170732369</v>
      </c>
      <c r="F1117" s="3" t="s">
        <v>17</v>
      </c>
      <c r="G1117" s="3" t="s">
        <v>18</v>
      </c>
      <c r="H1117" s="3" t="s">
        <v>18</v>
      </c>
      <c r="I1117" s="3" t="s">
        <v>171</v>
      </c>
      <c r="J1117" s="3" t="s">
        <v>884</v>
      </c>
      <c r="K1117" s="3" t="s">
        <v>662</v>
      </c>
      <c r="L1117" s="4">
        <v>0.28541666666666665</v>
      </c>
      <c r="M1117" s="3" t="s">
        <v>1162</v>
      </c>
      <c r="N1117" s="3" t="s">
        <v>24</v>
      </c>
      <c r="O1117" s="3" t="s">
        <v>25</v>
      </c>
    </row>
    <row r="1118" spans="1:15">
      <c r="A1118" s="3" t="s">
        <v>15</v>
      </c>
      <c r="B1118" s="3" t="str">
        <f>"FES1162740688"</f>
        <v>FES1162740688</v>
      </c>
      <c r="C1118" s="3" t="s">
        <v>363</v>
      </c>
      <c r="D1118" s="3">
        <v>1</v>
      </c>
      <c r="E1118" s="3" t="str">
        <f>"2170732334"</f>
        <v>2170732334</v>
      </c>
      <c r="F1118" s="3" t="s">
        <v>17</v>
      </c>
      <c r="G1118" s="3" t="s">
        <v>18</v>
      </c>
      <c r="H1118" s="3" t="s">
        <v>18</v>
      </c>
      <c r="I1118" s="3" t="s">
        <v>33</v>
      </c>
      <c r="J1118" s="3" t="s">
        <v>34</v>
      </c>
      <c r="K1118" s="3" t="s">
        <v>662</v>
      </c>
      <c r="L1118" s="4">
        <v>0.39583333333333331</v>
      </c>
      <c r="M1118" s="3" t="s">
        <v>35</v>
      </c>
      <c r="N1118" s="3" t="s">
        <v>24</v>
      </c>
      <c r="O1118" s="3" t="s">
        <v>25</v>
      </c>
    </row>
    <row r="1119" spans="1:15">
      <c r="A1119" s="3" t="s">
        <v>15</v>
      </c>
      <c r="B1119" s="3" t="str">
        <f>"FES1162740744"</f>
        <v>FES1162740744</v>
      </c>
      <c r="C1119" s="3" t="s">
        <v>363</v>
      </c>
      <c r="D1119" s="3">
        <v>1</v>
      </c>
      <c r="E1119" s="3" t="str">
        <f>"217072393"</f>
        <v>217072393</v>
      </c>
      <c r="F1119" s="3" t="s">
        <v>17</v>
      </c>
      <c r="G1119" s="3" t="s">
        <v>18</v>
      </c>
      <c r="H1119" s="3" t="s">
        <v>19</v>
      </c>
      <c r="I1119" s="3" t="s">
        <v>20</v>
      </c>
      <c r="J1119" s="3" t="s">
        <v>1163</v>
      </c>
      <c r="K1119" s="3" t="s">
        <v>662</v>
      </c>
      <c r="L1119" s="4">
        <v>0.39444444444444443</v>
      </c>
      <c r="M1119" s="3" t="s">
        <v>1164</v>
      </c>
      <c r="N1119" s="3" t="s">
        <v>24</v>
      </c>
      <c r="O1119" s="3" t="s">
        <v>25</v>
      </c>
    </row>
    <row r="1120" spans="1:15">
      <c r="A1120" s="3" t="s">
        <v>15</v>
      </c>
      <c r="B1120" s="3" t="str">
        <f>"FES1162740748"</f>
        <v>FES1162740748</v>
      </c>
      <c r="C1120" s="3" t="s">
        <v>363</v>
      </c>
      <c r="D1120" s="3">
        <v>1</v>
      </c>
      <c r="E1120" s="3" t="str">
        <f>"2170732397"</f>
        <v>2170732397</v>
      </c>
      <c r="F1120" s="3" t="s">
        <v>17</v>
      </c>
      <c r="G1120" s="3" t="s">
        <v>18</v>
      </c>
      <c r="H1120" s="3" t="s">
        <v>18</v>
      </c>
      <c r="I1120" s="3" t="s">
        <v>29</v>
      </c>
      <c r="J1120" s="3" t="s">
        <v>1165</v>
      </c>
      <c r="K1120" s="3" t="s">
        <v>662</v>
      </c>
      <c r="L1120" s="4">
        <v>0.35416666666666669</v>
      </c>
      <c r="M1120" s="3" t="s">
        <v>1166</v>
      </c>
      <c r="N1120" s="3" t="s">
        <v>24</v>
      </c>
      <c r="O1120" s="3" t="s">
        <v>25</v>
      </c>
    </row>
    <row r="1121" spans="1:15">
      <c r="A1121" s="3" t="s">
        <v>15</v>
      </c>
      <c r="B1121" s="3" t="str">
        <f>"FES1162740746"</f>
        <v>FES1162740746</v>
      </c>
      <c r="C1121" s="3" t="s">
        <v>363</v>
      </c>
      <c r="D1121" s="3">
        <v>1</v>
      </c>
      <c r="E1121" s="3" t="str">
        <f>"217072395"</f>
        <v>217072395</v>
      </c>
      <c r="F1121" s="3" t="s">
        <v>17</v>
      </c>
      <c r="G1121" s="3" t="s">
        <v>18</v>
      </c>
      <c r="H1121" s="3" t="s">
        <v>19</v>
      </c>
      <c r="I1121" s="3" t="s">
        <v>20</v>
      </c>
      <c r="J1121" s="3" t="s">
        <v>56</v>
      </c>
      <c r="K1121" s="3" t="s">
        <v>662</v>
      </c>
      <c r="L1121" s="4">
        <v>0.35347222222222219</v>
      </c>
      <c r="M1121" s="3" t="s">
        <v>57</v>
      </c>
      <c r="N1121" s="3" t="s">
        <v>24</v>
      </c>
      <c r="O1121" s="3" t="s">
        <v>25</v>
      </c>
    </row>
    <row r="1122" spans="1:15">
      <c r="A1122" s="3" t="s">
        <v>15</v>
      </c>
      <c r="B1122" s="3" t="str">
        <f>"FES1162740678"</f>
        <v>FES1162740678</v>
      </c>
      <c r="C1122" s="3" t="s">
        <v>363</v>
      </c>
      <c r="D1122" s="3">
        <v>1</v>
      </c>
      <c r="E1122" s="3" t="str">
        <f>"217073234"</f>
        <v>217073234</v>
      </c>
      <c r="F1122" s="3" t="s">
        <v>17</v>
      </c>
      <c r="G1122" s="3" t="s">
        <v>18</v>
      </c>
      <c r="H1122" s="3" t="s">
        <v>18</v>
      </c>
      <c r="I1122" s="3" t="s">
        <v>168</v>
      </c>
      <c r="J1122" s="3" t="s">
        <v>169</v>
      </c>
      <c r="K1122" s="3" t="s">
        <v>662</v>
      </c>
      <c r="L1122" s="4">
        <v>0.40069444444444446</v>
      </c>
      <c r="M1122" s="3" t="s">
        <v>170</v>
      </c>
      <c r="N1122" s="3" t="s">
        <v>24</v>
      </c>
      <c r="O1122" s="3" t="s">
        <v>25</v>
      </c>
    </row>
    <row r="1123" spans="1:15">
      <c r="A1123" s="3" t="s">
        <v>15</v>
      </c>
      <c r="B1123" s="3" t="str">
        <f>"FES1162740654"</f>
        <v>FES1162740654</v>
      </c>
      <c r="C1123" s="3" t="s">
        <v>363</v>
      </c>
      <c r="D1123" s="3">
        <v>1</v>
      </c>
      <c r="E1123" s="3" t="str">
        <f>"2170732298"</f>
        <v>2170732298</v>
      </c>
      <c r="F1123" s="3" t="s">
        <v>17</v>
      </c>
      <c r="G1123" s="3" t="s">
        <v>18</v>
      </c>
      <c r="H1123" s="3" t="s">
        <v>18</v>
      </c>
      <c r="I1123" s="3" t="s">
        <v>291</v>
      </c>
      <c r="J1123" s="3" t="s">
        <v>797</v>
      </c>
      <c r="K1123" s="3" t="s">
        <v>662</v>
      </c>
      <c r="L1123" s="4">
        <v>0.33333333333333331</v>
      </c>
      <c r="M1123" s="3" t="s">
        <v>1167</v>
      </c>
      <c r="N1123" s="3" t="s">
        <v>24</v>
      </c>
      <c r="O1123" s="3" t="s">
        <v>25</v>
      </c>
    </row>
    <row r="1124" spans="1:15">
      <c r="A1124" s="3" t="s">
        <v>15</v>
      </c>
      <c r="B1124" s="3" t="str">
        <f>"FES1162740681"</f>
        <v>FES1162740681</v>
      </c>
      <c r="C1124" s="3" t="s">
        <v>363</v>
      </c>
      <c r="D1124" s="3">
        <v>1</v>
      </c>
      <c r="E1124" s="3" t="str">
        <f>"2170732327"</f>
        <v>2170732327</v>
      </c>
      <c r="F1124" s="3" t="s">
        <v>17</v>
      </c>
      <c r="G1124" s="3" t="s">
        <v>18</v>
      </c>
      <c r="H1124" s="3" t="s">
        <v>18</v>
      </c>
      <c r="I1124" s="3" t="s">
        <v>168</v>
      </c>
      <c r="J1124" s="3" t="s">
        <v>169</v>
      </c>
      <c r="K1124" s="3" t="s">
        <v>662</v>
      </c>
      <c r="L1124" s="4">
        <v>0.35902777777777778</v>
      </c>
      <c r="M1124" s="3" t="s">
        <v>170</v>
      </c>
      <c r="N1124" s="3" t="s">
        <v>24</v>
      </c>
      <c r="O1124" s="3" t="s">
        <v>25</v>
      </c>
    </row>
    <row r="1125" spans="1:15">
      <c r="A1125" s="3" t="s">
        <v>15</v>
      </c>
      <c r="B1125" s="3" t="str">
        <f>"FES1162740684"</f>
        <v>FES1162740684</v>
      </c>
      <c r="C1125" s="3" t="s">
        <v>363</v>
      </c>
      <c r="D1125" s="3">
        <v>1</v>
      </c>
      <c r="E1125" s="3" t="str">
        <f>"2170732323"</f>
        <v>2170732323</v>
      </c>
      <c r="F1125" s="3" t="s">
        <v>17</v>
      </c>
      <c r="G1125" s="3" t="s">
        <v>18</v>
      </c>
      <c r="H1125" s="3" t="s">
        <v>18</v>
      </c>
      <c r="I1125" s="3" t="s">
        <v>29</v>
      </c>
      <c r="J1125" s="3" t="s">
        <v>74</v>
      </c>
      <c r="K1125" s="3" t="s">
        <v>662</v>
      </c>
      <c r="L1125" s="4">
        <v>0.38541666666666669</v>
      </c>
      <c r="M1125" s="3" t="s">
        <v>75</v>
      </c>
      <c r="N1125" s="3" t="s">
        <v>24</v>
      </c>
      <c r="O1125" s="3" t="s">
        <v>25</v>
      </c>
    </row>
    <row r="1126" spans="1:15">
      <c r="A1126" s="3" t="s">
        <v>15</v>
      </c>
      <c r="B1126" s="3" t="str">
        <f>"FES1162740639"</f>
        <v>FES1162740639</v>
      </c>
      <c r="C1126" s="3" t="s">
        <v>363</v>
      </c>
      <c r="D1126" s="3">
        <v>1</v>
      </c>
      <c r="E1126" s="3" t="str">
        <f>"2170732280"</f>
        <v>2170732280</v>
      </c>
      <c r="F1126" s="3" t="s">
        <v>17</v>
      </c>
      <c r="G1126" s="3" t="s">
        <v>18</v>
      </c>
      <c r="H1126" s="3" t="s">
        <v>18</v>
      </c>
      <c r="I1126" s="3" t="s">
        <v>168</v>
      </c>
      <c r="J1126" s="3" t="s">
        <v>302</v>
      </c>
      <c r="K1126" s="3" t="s">
        <v>662</v>
      </c>
      <c r="L1126" s="4">
        <v>0.41666666666666669</v>
      </c>
      <c r="M1126" s="3" t="s">
        <v>1168</v>
      </c>
      <c r="N1126" s="3" t="s">
        <v>24</v>
      </c>
      <c r="O1126" s="3" t="s">
        <v>25</v>
      </c>
    </row>
    <row r="1127" spans="1:15">
      <c r="A1127" s="3" t="s">
        <v>15</v>
      </c>
      <c r="B1127" s="3" t="str">
        <f>"FES1162740600"</f>
        <v>FES1162740600</v>
      </c>
      <c r="C1127" s="3" t="s">
        <v>363</v>
      </c>
      <c r="D1127" s="3">
        <v>1</v>
      </c>
      <c r="E1127" s="3" t="str">
        <f>"2170732220"</f>
        <v>2170732220</v>
      </c>
      <c r="F1127" s="3" t="s">
        <v>17</v>
      </c>
      <c r="G1127" s="3" t="s">
        <v>18</v>
      </c>
      <c r="H1127" s="3" t="s">
        <v>18</v>
      </c>
      <c r="I1127" s="3" t="s">
        <v>33</v>
      </c>
      <c r="J1127" s="3" t="s">
        <v>34</v>
      </c>
      <c r="K1127" s="3" t="s">
        <v>662</v>
      </c>
      <c r="L1127" s="4">
        <v>0.39513888888888887</v>
      </c>
      <c r="M1127" s="3" t="s">
        <v>444</v>
      </c>
      <c r="N1127" s="3" t="s">
        <v>24</v>
      </c>
      <c r="O1127" s="3" t="s">
        <v>25</v>
      </c>
    </row>
    <row r="1128" spans="1:15">
      <c r="A1128" s="3" t="s">
        <v>15</v>
      </c>
      <c r="B1128" s="3" t="str">
        <f>"FES1162740762"</f>
        <v>FES1162740762</v>
      </c>
      <c r="C1128" s="3" t="s">
        <v>363</v>
      </c>
      <c r="D1128" s="3">
        <v>0</v>
      </c>
      <c r="E1128" s="3" t="str">
        <f>"217072410"</f>
        <v>217072410</v>
      </c>
      <c r="F1128" s="3" t="s">
        <v>17</v>
      </c>
      <c r="G1128" s="3" t="s">
        <v>18</v>
      </c>
      <c r="H1128" s="3" t="s">
        <v>100</v>
      </c>
      <c r="I1128" s="3" t="s">
        <v>101</v>
      </c>
      <c r="J1128" s="3" t="s">
        <v>265</v>
      </c>
      <c r="K1128" s="3" t="s">
        <v>662</v>
      </c>
      <c r="L1128" s="4">
        <v>0.33680555555555558</v>
      </c>
      <c r="M1128" s="3" t="s">
        <v>1158</v>
      </c>
      <c r="N1128" s="3" t="s">
        <v>24</v>
      </c>
      <c r="O1128" s="3" t="s">
        <v>25</v>
      </c>
    </row>
    <row r="1129" spans="1:15">
      <c r="A1129" s="5" t="s">
        <v>15</v>
      </c>
      <c r="B1129" s="5" t="str">
        <f>"FES1162740752"</f>
        <v>FES1162740752</v>
      </c>
      <c r="C1129" s="5" t="s">
        <v>363</v>
      </c>
      <c r="D1129" s="5">
        <v>1</v>
      </c>
      <c r="E1129" s="5" t="str">
        <f>"2170732147"</f>
        <v>2170732147</v>
      </c>
      <c r="F1129" s="5" t="s">
        <v>17</v>
      </c>
      <c r="G1129" s="5" t="s">
        <v>18</v>
      </c>
      <c r="H1129" s="5" t="s">
        <v>100</v>
      </c>
      <c r="I1129" s="5" t="s">
        <v>101</v>
      </c>
      <c r="J1129" s="5" t="s">
        <v>142</v>
      </c>
      <c r="K1129" s="5" t="s">
        <v>662</v>
      </c>
      <c r="L1129" s="6">
        <v>0.36527777777777781</v>
      </c>
      <c r="M1129" s="5" t="s">
        <v>1169</v>
      </c>
      <c r="N1129" s="5" t="s">
        <v>24</v>
      </c>
      <c r="O1129" s="5" t="s">
        <v>25</v>
      </c>
    </row>
    <row r="1130" spans="1:15">
      <c r="A1130" s="5" t="s">
        <v>15</v>
      </c>
      <c r="B1130" s="5" t="str">
        <f>"FES1162740757"</f>
        <v>FES1162740757</v>
      </c>
      <c r="C1130" s="5" t="s">
        <v>363</v>
      </c>
      <c r="D1130" s="5">
        <v>1</v>
      </c>
      <c r="E1130" s="5" t="str">
        <f>"2170732407"</f>
        <v>2170732407</v>
      </c>
      <c r="F1130" s="5" t="s">
        <v>17</v>
      </c>
      <c r="G1130" s="5" t="s">
        <v>18</v>
      </c>
      <c r="H1130" s="5" t="s">
        <v>100</v>
      </c>
      <c r="I1130" s="5" t="s">
        <v>101</v>
      </c>
      <c r="J1130" s="5" t="s">
        <v>265</v>
      </c>
      <c r="K1130" s="5" t="s">
        <v>662</v>
      </c>
      <c r="L1130" s="6">
        <v>0.33680555555555558</v>
      </c>
      <c r="M1130" s="5" t="s">
        <v>1158</v>
      </c>
      <c r="N1130" s="5" t="s">
        <v>24</v>
      </c>
      <c r="O1130" s="5" t="s">
        <v>25</v>
      </c>
    </row>
    <row r="1131" spans="1:15">
      <c r="A1131" s="5" t="s">
        <v>15</v>
      </c>
      <c r="B1131" s="5" t="str">
        <f>"FES1162740771"</f>
        <v>FES1162740771</v>
      </c>
      <c r="C1131" s="5" t="s">
        <v>363</v>
      </c>
      <c r="D1131" s="5">
        <v>1</v>
      </c>
      <c r="E1131" s="5" t="str">
        <f>"2170732976"</f>
        <v>2170732976</v>
      </c>
      <c r="F1131" s="5" t="s">
        <v>17</v>
      </c>
      <c r="G1131" s="5" t="s">
        <v>18</v>
      </c>
      <c r="H1131" s="5" t="s">
        <v>36</v>
      </c>
      <c r="I1131" s="5" t="s">
        <v>330</v>
      </c>
      <c r="J1131" s="5" t="s">
        <v>331</v>
      </c>
      <c r="K1131" s="5" t="s">
        <v>662</v>
      </c>
      <c r="L1131" s="6">
        <v>0.44444444444444442</v>
      </c>
      <c r="M1131" s="5" t="s">
        <v>332</v>
      </c>
      <c r="N1131" s="5" t="s">
        <v>24</v>
      </c>
      <c r="O1131" s="5" t="s">
        <v>25</v>
      </c>
    </row>
    <row r="1132" spans="1:15">
      <c r="A1132" s="5" t="s">
        <v>15</v>
      </c>
      <c r="B1132" s="5" t="str">
        <f>"FES1162740770"</f>
        <v>FES1162740770</v>
      </c>
      <c r="C1132" s="5" t="s">
        <v>363</v>
      </c>
      <c r="D1132" s="5">
        <v>1</v>
      </c>
      <c r="E1132" s="5" t="str">
        <f>"2170729387"</f>
        <v>2170729387</v>
      </c>
      <c r="F1132" s="5" t="s">
        <v>17</v>
      </c>
      <c r="G1132" s="5" t="s">
        <v>18</v>
      </c>
      <c r="H1132" s="5" t="s">
        <v>66</v>
      </c>
      <c r="I1132" s="5" t="s">
        <v>158</v>
      </c>
      <c r="J1132" s="5" t="s">
        <v>541</v>
      </c>
      <c r="K1132" s="5" t="s">
        <v>662</v>
      </c>
      <c r="L1132" s="6">
        <v>0.6791666666666667</v>
      </c>
      <c r="M1132" s="5" t="s">
        <v>472</v>
      </c>
      <c r="N1132" s="5" t="s">
        <v>24</v>
      </c>
      <c r="O1132" s="5" t="s">
        <v>25</v>
      </c>
    </row>
    <row r="1133" spans="1:15">
      <c r="A1133" s="5" t="s">
        <v>15</v>
      </c>
      <c r="B1133" s="5" t="str">
        <f>"FES1162740775"</f>
        <v>FES1162740775</v>
      </c>
      <c r="C1133" s="5" t="s">
        <v>363</v>
      </c>
      <c r="D1133" s="5">
        <v>1</v>
      </c>
      <c r="E1133" s="5" t="str">
        <f>"217072426"</f>
        <v>217072426</v>
      </c>
      <c r="F1133" s="5" t="s">
        <v>17</v>
      </c>
      <c r="G1133" s="5" t="s">
        <v>18</v>
      </c>
      <c r="H1133" s="5" t="s">
        <v>66</v>
      </c>
      <c r="I1133" s="5" t="s">
        <v>67</v>
      </c>
      <c r="J1133" s="5" t="s">
        <v>543</v>
      </c>
      <c r="K1133" s="5" t="s">
        <v>662</v>
      </c>
      <c r="L1133" s="6">
        <v>0.40972222222222227</v>
      </c>
      <c r="M1133" s="5" t="s">
        <v>1170</v>
      </c>
      <c r="N1133" s="5" t="s">
        <v>24</v>
      </c>
      <c r="O1133" s="5" t="s">
        <v>25</v>
      </c>
    </row>
    <row r="1134" spans="1:15">
      <c r="A1134" s="5" t="s">
        <v>15</v>
      </c>
      <c r="B1134" s="5" t="str">
        <f>"FES1162740767"</f>
        <v>FES1162740767</v>
      </c>
      <c r="C1134" s="5" t="s">
        <v>363</v>
      </c>
      <c r="D1134" s="5">
        <v>1</v>
      </c>
      <c r="E1134" s="5" t="str">
        <f>"2170732418"</f>
        <v>2170732418</v>
      </c>
      <c r="F1134" s="5" t="s">
        <v>17</v>
      </c>
      <c r="G1134" s="5" t="s">
        <v>18</v>
      </c>
      <c r="H1134" s="5" t="s">
        <v>70</v>
      </c>
      <c r="I1134" s="5" t="s">
        <v>755</v>
      </c>
      <c r="J1134" s="5" t="s">
        <v>756</v>
      </c>
      <c r="K1134" s="5" t="s">
        <v>662</v>
      </c>
      <c r="L1134" s="6">
        <v>0.40972222222222227</v>
      </c>
      <c r="M1134" s="5" t="s">
        <v>1170</v>
      </c>
      <c r="N1134" s="5" t="s">
        <v>24</v>
      </c>
      <c r="O1134" s="5" t="s">
        <v>25</v>
      </c>
    </row>
    <row r="1135" spans="1:15">
      <c r="A1135" s="5" t="s">
        <v>15</v>
      </c>
      <c r="B1135" s="5" t="str">
        <f>"FES1162740774"</f>
        <v>FES1162740774</v>
      </c>
      <c r="C1135" s="5" t="s">
        <v>363</v>
      </c>
      <c r="D1135" s="5">
        <v>1</v>
      </c>
      <c r="E1135" s="5" t="str">
        <f>"21707324825"</f>
        <v>21707324825</v>
      </c>
      <c r="F1135" s="5" t="s">
        <v>17</v>
      </c>
      <c r="G1135" s="5" t="s">
        <v>18</v>
      </c>
      <c r="H1135" s="5" t="s">
        <v>19</v>
      </c>
      <c r="I1135" s="5" t="s">
        <v>95</v>
      </c>
      <c r="J1135" s="5" t="s">
        <v>1171</v>
      </c>
      <c r="K1135" s="5" t="s">
        <v>662</v>
      </c>
      <c r="L1135" s="6">
        <v>0.48194444444444445</v>
      </c>
      <c r="M1135" s="5" t="s">
        <v>97</v>
      </c>
      <c r="N1135" s="5" t="s">
        <v>24</v>
      </c>
      <c r="O1135" s="5" t="s">
        <v>25</v>
      </c>
    </row>
    <row r="1136" spans="1:15">
      <c r="A1136" s="5" t="s">
        <v>15</v>
      </c>
      <c r="B1136" s="5" t="str">
        <f>"FES1162740777"</f>
        <v>FES1162740777</v>
      </c>
      <c r="C1136" s="5" t="s">
        <v>363</v>
      </c>
      <c r="D1136" s="5">
        <v>1</v>
      </c>
      <c r="E1136" s="5" t="str">
        <f>"2170732472"</f>
        <v>2170732472</v>
      </c>
      <c r="F1136" s="5" t="s">
        <v>17</v>
      </c>
      <c r="G1136" s="5" t="s">
        <v>18</v>
      </c>
      <c r="H1136" s="5" t="s">
        <v>534</v>
      </c>
      <c r="I1136" s="5" t="s">
        <v>535</v>
      </c>
      <c r="J1136" s="5" t="s">
        <v>536</v>
      </c>
      <c r="K1136" s="5" t="s">
        <v>662</v>
      </c>
      <c r="L1136" s="6">
        <v>0.39583333333333331</v>
      </c>
      <c r="M1136" s="5" t="s">
        <v>232</v>
      </c>
      <c r="N1136" s="5" t="s">
        <v>24</v>
      </c>
      <c r="O1136" s="5" t="s">
        <v>25</v>
      </c>
    </row>
    <row r="1137" spans="1:15">
      <c r="A1137" s="5" t="s">
        <v>15</v>
      </c>
      <c r="B1137" s="5" t="str">
        <f>"FES1162740766"</f>
        <v>FES1162740766</v>
      </c>
      <c r="C1137" s="5" t="s">
        <v>363</v>
      </c>
      <c r="D1137" s="5">
        <v>1</v>
      </c>
      <c r="E1137" s="5" t="str">
        <f>"2170732417"</f>
        <v>2170732417</v>
      </c>
      <c r="F1137" s="5" t="s">
        <v>17</v>
      </c>
      <c r="G1137" s="5" t="s">
        <v>18</v>
      </c>
      <c r="H1137" s="5" t="s">
        <v>19</v>
      </c>
      <c r="I1137" s="5" t="s">
        <v>86</v>
      </c>
      <c r="J1137" s="5" t="s">
        <v>273</v>
      </c>
      <c r="K1137" s="5" t="s">
        <v>662</v>
      </c>
      <c r="L1137" s="6">
        <v>0.41944444444444445</v>
      </c>
      <c r="M1137" s="5" t="s">
        <v>1172</v>
      </c>
      <c r="N1137" s="5" t="s">
        <v>24</v>
      </c>
      <c r="O1137" s="5" t="s">
        <v>25</v>
      </c>
    </row>
    <row r="1138" spans="1:15">
      <c r="A1138" s="5" t="s">
        <v>15</v>
      </c>
      <c r="B1138" s="5" t="str">
        <f>"FES1162740760"</f>
        <v>FES1162740760</v>
      </c>
      <c r="C1138" s="5" t="s">
        <v>363</v>
      </c>
      <c r="D1138" s="5">
        <v>1</v>
      </c>
      <c r="E1138" s="5" t="str">
        <f>"2170731547"</f>
        <v>2170731547</v>
      </c>
      <c r="F1138" s="5" t="s">
        <v>17</v>
      </c>
      <c r="G1138" s="5" t="s">
        <v>18</v>
      </c>
      <c r="H1138" s="5" t="s">
        <v>19</v>
      </c>
      <c r="I1138" s="5" t="s">
        <v>51</v>
      </c>
      <c r="J1138" s="5" t="s">
        <v>209</v>
      </c>
      <c r="K1138" s="5" t="s">
        <v>662</v>
      </c>
      <c r="L1138" s="6">
        <v>0.38611111111111113</v>
      </c>
      <c r="M1138" s="5" t="s">
        <v>235</v>
      </c>
      <c r="N1138" s="5" t="s">
        <v>24</v>
      </c>
      <c r="O1138" s="5" t="s">
        <v>25</v>
      </c>
    </row>
    <row r="1139" spans="1:15">
      <c r="A1139" s="5" t="s">
        <v>15</v>
      </c>
      <c r="B1139" s="5" t="str">
        <f>"FES1162740672"</f>
        <v>FES1162740672</v>
      </c>
      <c r="C1139" s="5" t="s">
        <v>363</v>
      </c>
      <c r="D1139" s="5">
        <v>1</v>
      </c>
      <c r="E1139" s="5" t="str">
        <f>"2170732318"</f>
        <v>2170732318</v>
      </c>
      <c r="F1139" s="5" t="s">
        <v>17</v>
      </c>
      <c r="G1139" s="5" t="s">
        <v>18</v>
      </c>
      <c r="H1139" s="5" t="s">
        <v>18</v>
      </c>
      <c r="I1139" s="5" t="s">
        <v>33</v>
      </c>
      <c r="J1139" s="5" t="s">
        <v>34</v>
      </c>
      <c r="K1139" s="5" t="s">
        <v>662</v>
      </c>
      <c r="L1139" s="6">
        <v>0.39444444444444443</v>
      </c>
      <c r="M1139" s="5" t="s">
        <v>444</v>
      </c>
      <c r="N1139" s="5" t="s">
        <v>24</v>
      </c>
      <c r="O1139" s="5" t="s">
        <v>25</v>
      </c>
    </row>
    <row r="1140" spans="1:15">
      <c r="A1140" s="5" t="s">
        <v>15</v>
      </c>
      <c r="B1140" s="5" t="str">
        <f>"FES1162740779"</f>
        <v>FES1162740779</v>
      </c>
      <c r="C1140" s="5" t="s">
        <v>363</v>
      </c>
      <c r="D1140" s="5">
        <v>2</v>
      </c>
      <c r="E1140" s="5" t="str">
        <f>"2170732431"</f>
        <v>2170732431</v>
      </c>
      <c r="F1140" s="5" t="s">
        <v>17</v>
      </c>
      <c r="G1140" s="5" t="s">
        <v>18</v>
      </c>
      <c r="H1140" s="5" t="s">
        <v>46</v>
      </c>
      <c r="I1140" s="5" t="s">
        <v>47</v>
      </c>
      <c r="J1140" s="5" t="s">
        <v>48</v>
      </c>
      <c r="K1140" s="5" t="s">
        <v>662</v>
      </c>
      <c r="L1140" s="6">
        <v>0.40208333333333335</v>
      </c>
      <c r="M1140" s="5" t="s">
        <v>1025</v>
      </c>
      <c r="N1140" s="5" t="s">
        <v>24</v>
      </c>
      <c r="O1140" s="5" t="s">
        <v>25</v>
      </c>
    </row>
    <row r="1141" spans="1:15">
      <c r="A1141" s="3" t="s">
        <v>15</v>
      </c>
      <c r="B1141" s="3" t="str">
        <f>"FES1162740740"</f>
        <v>FES1162740740</v>
      </c>
      <c r="C1141" s="3" t="s">
        <v>363</v>
      </c>
      <c r="D1141" s="3">
        <v>1</v>
      </c>
      <c r="E1141" s="3" t="str">
        <f>"217072389"</f>
        <v>217072389</v>
      </c>
      <c r="F1141" s="3" t="s">
        <v>17</v>
      </c>
      <c r="G1141" s="3" t="s">
        <v>18</v>
      </c>
      <c r="H1141" s="3" t="s">
        <v>18</v>
      </c>
      <c r="I1141" s="3" t="s">
        <v>33</v>
      </c>
      <c r="J1141" s="3" t="s">
        <v>34</v>
      </c>
      <c r="K1141" s="3" t="s">
        <v>662</v>
      </c>
      <c r="L1141" s="4">
        <v>0.39652777777777781</v>
      </c>
      <c r="M1141" s="3" t="s">
        <v>35</v>
      </c>
      <c r="N1141" s="3" t="s">
        <v>24</v>
      </c>
      <c r="O1141" s="3" t="s">
        <v>25</v>
      </c>
    </row>
    <row r="1142" spans="1:15">
      <c r="A1142" s="3" t="s">
        <v>15</v>
      </c>
      <c r="B1142" s="3" t="str">
        <f>"FES1162740778"</f>
        <v>FES1162740778</v>
      </c>
      <c r="C1142" s="3" t="s">
        <v>363</v>
      </c>
      <c r="D1142" s="3">
        <v>1</v>
      </c>
      <c r="E1142" s="3" t="str">
        <f>"2170732428"</f>
        <v>2170732428</v>
      </c>
      <c r="F1142" s="3" t="s">
        <v>17</v>
      </c>
      <c r="G1142" s="3" t="s">
        <v>18</v>
      </c>
      <c r="H1142" s="3" t="s">
        <v>100</v>
      </c>
      <c r="I1142" s="3" t="s">
        <v>101</v>
      </c>
      <c r="J1142" s="3" t="s">
        <v>921</v>
      </c>
      <c r="K1142" s="3" t="s">
        <v>662</v>
      </c>
      <c r="L1142" s="4">
        <v>0.32361111111111113</v>
      </c>
      <c r="M1142" s="3" t="s">
        <v>922</v>
      </c>
      <c r="N1142" s="3" t="s">
        <v>24</v>
      </c>
      <c r="O1142" s="3" t="s">
        <v>25</v>
      </c>
    </row>
    <row r="1143" spans="1:15">
      <c r="A1143" s="3" t="s">
        <v>15</v>
      </c>
      <c r="B1143" s="3" t="str">
        <f>"FES1162740713"</f>
        <v>FES1162740713</v>
      </c>
      <c r="C1143" s="3" t="s">
        <v>363</v>
      </c>
      <c r="D1143" s="3">
        <v>1</v>
      </c>
      <c r="E1143" s="3" t="str">
        <f>"2170732360"</f>
        <v>2170732360</v>
      </c>
      <c r="F1143" s="3" t="s">
        <v>17</v>
      </c>
      <c r="G1143" s="3" t="s">
        <v>18</v>
      </c>
      <c r="H1143" s="3" t="s">
        <v>18</v>
      </c>
      <c r="I1143" s="3" t="s">
        <v>33</v>
      </c>
      <c r="J1143" s="3" t="s">
        <v>34</v>
      </c>
      <c r="K1143" s="3" t="s">
        <v>662</v>
      </c>
      <c r="L1143" s="4">
        <v>0.39652777777777781</v>
      </c>
      <c r="M1143" s="3" t="s">
        <v>35</v>
      </c>
      <c r="N1143" s="3" t="s">
        <v>24</v>
      </c>
      <c r="O1143" s="3" t="s">
        <v>25</v>
      </c>
    </row>
    <row r="1144" spans="1:15">
      <c r="A1144" s="3" t="s">
        <v>15</v>
      </c>
      <c r="B1144" s="3" t="str">
        <f>"FES1162740780"</f>
        <v>FES1162740780</v>
      </c>
      <c r="C1144" s="3" t="s">
        <v>363</v>
      </c>
      <c r="D1144" s="3">
        <v>1</v>
      </c>
      <c r="E1144" s="3" t="str">
        <f>"21707232342"</f>
        <v>21707232342</v>
      </c>
      <c r="F1144" s="3" t="s">
        <v>17</v>
      </c>
      <c r="G1144" s="3" t="s">
        <v>18</v>
      </c>
      <c r="H1144" s="3" t="s">
        <v>36</v>
      </c>
      <c r="I1144" s="3" t="s">
        <v>174</v>
      </c>
      <c r="J1144" s="3" t="s">
        <v>349</v>
      </c>
      <c r="K1144" s="3" t="s">
        <v>662</v>
      </c>
      <c r="L1144" s="4">
        <v>0.34097222222222223</v>
      </c>
      <c r="M1144" s="3" t="s">
        <v>1173</v>
      </c>
      <c r="N1144" s="3" t="s">
        <v>24</v>
      </c>
      <c r="O1144" s="3" t="s">
        <v>25</v>
      </c>
    </row>
    <row r="1145" spans="1:15">
      <c r="A1145" s="3" t="s">
        <v>15</v>
      </c>
      <c r="B1145" s="3" t="str">
        <f>"FES1162740772"</f>
        <v>FES1162740772</v>
      </c>
      <c r="C1145" s="3" t="s">
        <v>363</v>
      </c>
      <c r="D1145" s="3">
        <v>1</v>
      </c>
      <c r="E1145" s="3" t="str">
        <f>"2170732423"</f>
        <v>2170732423</v>
      </c>
      <c r="F1145" s="3" t="s">
        <v>17</v>
      </c>
      <c r="G1145" s="3" t="s">
        <v>18</v>
      </c>
      <c r="H1145" s="3" t="s">
        <v>18</v>
      </c>
      <c r="I1145" s="3" t="s">
        <v>453</v>
      </c>
      <c r="J1145" s="3" t="s">
        <v>454</v>
      </c>
      <c r="K1145" s="3" t="s">
        <v>662</v>
      </c>
      <c r="L1145" s="4">
        <v>0.33333333333333331</v>
      </c>
      <c r="M1145" s="3" t="s">
        <v>455</v>
      </c>
      <c r="N1145" s="3" t="s">
        <v>24</v>
      </c>
      <c r="O1145" s="3" t="s">
        <v>25</v>
      </c>
    </row>
    <row r="1146" spans="1:15">
      <c r="A1146" s="3" t="s">
        <v>15</v>
      </c>
      <c r="B1146" s="3" t="str">
        <f>"FES1162740769"</f>
        <v>FES1162740769</v>
      </c>
      <c r="C1146" s="3" t="s">
        <v>363</v>
      </c>
      <c r="D1146" s="3">
        <v>1</v>
      </c>
      <c r="E1146" s="3" t="str">
        <f>"2170732420"</f>
        <v>2170732420</v>
      </c>
      <c r="F1146" s="3" t="s">
        <v>17</v>
      </c>
      <c r="G1146" s="3" t="s">
        <v>18</v>
      </c>
      <c r="H1146" s="3" t="s">
        <v>18</v>
      </c>
      <c r="I1146" s="3" t="s">
        <v>206</v>
      </c>
      <c r="J1146" s="3" t="s">
        <v>325</v>
      </c>
      <c r="K1146" s="3" t="s">
        <v>662</v>
      </c>
      <c r="L1146" s="4">
        <v>0.33333333333333331</v>
      </c>
      <c r="M1146" s="3" t="s">
        <v>1174</v>
      </c>
      <c r="N1146" s="3" t="s">
        <v>24</v>
      </c>
      <c r="O1146" s="3" t="s">
        <v>25</v>
      </c>
    </row>
    <row r="1147" spans="1:15">
      <c r="A1147" s="3" t="s">
        <v>15</v>
      </c>
      <c r="B1147" s="3" t="str">
        <f>"FES1162740729"</f>
        <v>FES1162740729</v>
      </c>
      <c r="C1147" s="3" t="s">
        <v>363</v>
      </c>
      <c r="D1147" s="3">
        <v>1</v>
      </c>
      <c r="E1147" s="3" t="str">
        <f>"2170732379"</f>
        <v>2170732379</v>
      </c>
      <c r="F1147" s="3" t="s">
        <v>17</v>
      </c>
      <c r="G1147" s="3" t="s">
        <v>18</v>
      </c>
      <c r="H1147" s="3" t="s">
        <v>18</v>
      </c>
      <c r="I1147" s="3" t="s">
        <v>171</v>
      </c>
      <c r="J1147" s="3" t="s">
        <v>522</v>
      </c>
      <c r="K1147" s="3" t="s">
        <v>662</v>
      </c>
      <c r="L1147" s="4">
        <v>0.27638888888888885</v>
      </c>
      <c r="M1147" s="3" t="s">
        <v>28</v>
      </c>
      <c r="N1147" s="3" t="s">
        <v>24</v>
      </c>
      <c r="O1147" s="3" t="s">
        <v>25</v>
      </c>
    </row>
    <row r="1148" spans="1:15">
      <c r="A1148" s="3" t="s">
        <v>15</v>
      </c>
      <c r="B1148" s="3" t="str">
        <f>"FES1162740783"</f>
        <v>FES1162740783</v>
      </c>
      <c r="C1148" s="3" t="s">
        <v>363</v>
      </c>
      <c r="D1148" s="3">
        <v>1</v>
      </c>
      <c r="E1148" s="3" t="str">
        <f>"2170723437"</f>
        <v>2170723437</v>
      </c>
      <c r="F1148" s="3" t="s">
        <v>17</v>
      </c>
      <c r="G1148" s="3" t="s">
        <v>18</v>
      </c>
      <c r="H1148" s="3" t="s">
        <v>100</v>
      </c>
      <c r="I1148" s="3" t="s">
        <v>101</v>
      </c>
      <c r="J1148" s="3" t="s">
        <v>327</v>
      </c>
      <c r="K1148" s="3" t="s">
        <v>662</v>
      </c>
      <c r="L1148" s="4">
        <v>0.42291666666666666</v>
      </c>
      <c r="M1148" s="3" t="s">
        <v>1175</v>
      </c>
      <c r="N1148" s="3" t="s">
        <v>24</v>
      </c>
      <c r="O1148" s="3" t="s">
        <v>25</v>
      </c>
    </row>
    <row r="1149" spans="1:15">
      <c r="A1149" s="3" t="s">
        <v>15</v>
      </c>
      <c r="B1149" s="3" t="str">
        <f>"FES1162740781"</f>
        <v>FES1162740781</v>
      </c>
      <c r="C1149" s="3" t="s">
        <v>363</v>
      </c>
      <c r="D1149" s="3">
        <v>1</v>
      </c>
      <c r="E1149" s="3" t="str">
        <f>"2170724333"</f>
        <v>2170724333</v>
      </c>
      <c r="F1149" s="3" t="s">
        <v>17</v>
      </c>
      <c r="G1149" s="3" t="s">
        <v>18</v>
      </c>
      <c r="H1149" s="3" t="s">
        <v>18</v>
      </c>
      <c r="I1149" s="3" t="s">
        <v>171</v>
      </c>
      <c r="J1149" s="3" t="s">
        <v>311</v>
      </c>
      <c r="K1149" s="3" t="s">
        <v>662</v>
      </c>
      <c r="L1149" s="4">
        <v>0.4375</v>
      </c>
      <c r="M1149" s="3" t="s">
        <v>1176</v>
      </c>
      <c r="N1149" s="3" t="s">
        <v>24</v>
      </c>
      <c r="O1149" s="3" t="s">
        <v>25</v>
      </c>
    </row>
    <row r="1150" spans="1:15">
      <c r="A1150" s="3" t="s">
        <v>15</v>
      </c>
      <c r="B1150" s="3" t="str">
        <f>"FES1162740687"</f>
        <v>FES1162740687</v>
      </c>
      <c r="C1150" s="3" t="s">
        <v>363</v>
      </c>
      <c r="D1150" s="3">
        <v>1</v>
      </c>
      <c r="E1150" s="3" t="str">
        <f>"217073222333"</f>
        <v>217073222333</v>
      </c>
      <c r="F1150" s="3" t="s">
        <v>17</v>
      </c>
      <c r="G1150" s="3" t="s">
        <v>18</v>
      </c>
      <c r="H1150" s="3" t="s">
        <v>18</v>
      </c>
      <c r="I1150" s="3" t="s">
        <v>168</v>
      </c>
      <c r="J1150" s="3" t="s">
        <v>1177</v>
      </c>
      <c r="K1150" s="3" t="s">
        <v>662</v>
      </c>
      <c r="L1150" s="4">
        <v>0.40972222222222227</v>
      </c>
      <c r="M1150" s="3" t="s">
        <v>1129</v>
      </c>
      <c r="N1150" s="3" t="s">
        <v>24</v>
      </c>
      <c r="O1150" s="3" t="s">
        <v>25</v>
      </c>
    </row>
    <row r="1151" spans="1:15">
      <c r="A1151" s="3" t="s">
        <v>15</v>
      </c>
      <c r="B1151" s="3" t="str">
        <f>"FES1162740710"</f>
        <v>FES1162740710</v>
      </c>
      <c r="C1151" s="3" t="s">
        <v>363</v>
      </c>
      <c r="D1151" s="3">
        <v>1</v>
      </c>
      <c r="E1151" s="3" t="str">
        <f>"2170732247"</f>
        <v>2170732247</v>
      </c>
      <c r="F1151" s="3" t="s">
        <v>17</v>
      </c>
      <c r="G1151" s="3" t="s">
        <v>18</v>
      </c>
      <c r="H1151" s="3" t="s">
        <v>66</v>
      </c>
      <c r="I1151" s="3" t="s">
        <v>869</v>
      </c>
      <c r="J1151" s="3" t="s">
        <v>1178</v>
      </c>
      <c r="K1151" s="3" t="s">
        <v>662</v>
      </c>
      <c r="L1151" s="4">
        <v>0.4861111111111111</v>
      </c>
      <c r="M1151" s="3" t="s">
        <v>1179</v>
      </c>
      <c r="N1151" s="3" t="s">
        <v>24</v>
      </c>
      <c r="O1151" s="3" t="s">
        <v>25</v>
      </c>
    </row>
    <row r="1152" spans="1:15">
      <c r="A1152" s="3" t="s">
        <v>15</v>
      </c>
      <c r="B1152" s="3" t="str">
        <f>"FES1162740709"</f>
        <v>FES1162740709</v>
      </c>
      <c r="C1152" s="3" t="s">
        <v>363</v>
      </c>
      <c r="D1152" s="3">
        <v>1</v>
      </c>
      <c r="E1152" s="3" t="str">
        <f>"2170732189"</f>
        <v>2170732189</v>
      </c>
      <c r="F1152" s="3" t="s">
        <v>17</v>
      </c>
      <c r="G1152" s="3" t="s">
        <v>18</v>
      </c>
      <c r="H1152" s="3" t="s">
        <v>18</v>
      </c>
      <c r="I1152" s="3" t="s">
        <v>33</v>
      </c>
      <c r="J1152" s="3" t="s">
        <v>1180</v>
      </c>
      <c r="K1152" s="3" t="s">
        <v>662</v>
      </c>
      <c r="L1152" s="4">
        <v>0.30208333333333331</v>
      </c>
      <c r="M1152" s="3" t="s">
        <v>1181</v>
      </c>
      <c r="N1152" s="3" t="s">
        <v>24</v>
      </c>
      <c r="O1152" s="3" t="s">
        <v>25</v>
      </c>
    </row>
    <row r="1153" spans="1:15">
      <c r="A1153" s="3" t="s">
        <v>15</v>
      </c>
      <c r="B1153" s="3" t="str">
        <f>"FES1162740755"</f>
        <v>FES1162740755</v>
      </c>
      <c r="C1153" s="3" t="s">
        <v>363</v>
      </c>
      <c r="D1153" s="3">
        <v>1</v>
      </c>
      <c r="E1153" s="3" t="str">
        <f>"2170724042"</f>
        <v>2170724042</v>
      </c>
      <c r="F1153" s="3" t="s">
        <v>17</v>
      </c>
      <c r="G1153" s="3" t="s">
        <v>18</v>
      </c>
      <c r="H1153" s="3" t="s">
        <v>18</v>
      </c>
      <c r="I1153" s="3" t="s">
        <v>341</v>
      </c>
      <c r="J1153" s="3" t="s">
        <v>923</v>
      </c>
      <c r="K1153" s="3" t="s">
        <v>662</v>
      </c>
      <c r="L1153" s="4">
        <v>0.375</v>
      </c>
      <c r="M1153" s="3" t="s">
        <v>1050</v>
      </c>
      <c r="N1153" s="3" t="s">
        <v>24</v>
      </c>
      <c r="O1153" s="3" t="s">
        <v>25</v>
      </c>
    </row>
    <row r="1154" spans="1:15">
      <c r="A1154" s="3" t="s">
        <v>15</v>
      </c>
      <c r="B1154" s="3" t="str">
        <f>"019911311224"</f>
        <v>019911311224</v>
      </c>
      <c r="C1154" s="3" t="s">
        <v>363</v>
      </c>
      <c r="D1154" s="3">
        <v>3</v>
      </c>
      <c r="E1154" s="3" t="str">
        <f>"1703"</f>
        <v>1703</v>
      </c>
      <c r="F1154" s="3" t="s">
        <v>528</v>
      </c>
      <c r="G1154" s="3" t="s">
        <v>100</v>
      </c>
      <c r="H1154" s="3" t="s">
        <v>948</v>
      </c>
      <c r="I1154" s="3" t="s">
        <v>29</v>
      </c>
      <c r="J1154" s="3" t="s">
        <v>635</v>
      </c>
      <c r="K1154" s="3" t="s">
        <v>1042</v>
      </c>
      <c r="L1154" s="4">
        <v>0.375</v>
      </c>
      <c r="M1154" s="3" t="s">
        <v>873</v>
      </c>
      <c r="N1154" s="3" t="s">
        <v>24</v>
      </c>
      <c r="O1154" s="3" t="s">
        <v>25</v>
      </c>
    </row>
    <row r="1155" spans="1:15">
      <c r="A1155" s="3" t="s">
        <v>15</v>
      </c>
      <c r="B1155" s="3" t="str">
        <f>"RFES1162740456"</f>
        <v>RFES1162740456</v>
      </c>
      <c r="C1155" s="3" t="s">
        <v>662</v>
      </c>
      <c r="D1155" s="3">
        <v>1</v>
      </c>
      <c r="E1155" s="3" t="str">
        <f>"2170732053"</f>
        <v>2170732053</v>
      </c>
      <c r="F1155" s="3" t="s">
        <v>17</v>
      </c>
      <c r="G1155" s="3" t="s">
        <v>18</v>
      </c>
      <c r="H1155" s="3" t="s">
        <v>18</v>
      </c>
      <c r="I1155" s="3" t="s">
        <v>29</v>
      </c>
      <c r="J1155" s="3" t="s">
        <v>30</v>
      </c>
      <c r="K1155" s="3" t="s">
        <v>1042</v>
      </c>
      <c r="L1155" s="4">
        <v>0.34930555555555554</v>
      </c>
      <c r="M1155" s="3" t="s">
        <v>31</v>
      </c>
      <c r="N1155" s="3" t="s">
        <v>24</v>
      </c>
      <c r="O1155" s="3"/>
    </row>
    <row r="1156" spans="1:15">
      <c r="A1156" s="3" t="s">
        <v>15</v>
      </c>
      <c r="B1156" s="3" t="str">
        <f>"FES1162740804"</f>
        <v>FES1162740804</v>
      </c>
      <c r="C1156" s="3" t="s">
        <v>662</v>
      </c>
      <c r="D1156" s="3">
        <v>1</v>
      </c>
      <c r="E1156" s="3" t="str">
        <f>"2170732172"</f>
        <v>2170732172</v>
      </c>
      <c r="F1156" s="3" t="s">
        <v>17</v>
      </c>
      <c r="G1156" s="3" t="s">
        <v>18</v>
      </c>
      <c r="H1156" s="3" t="s">
        <v>70</v>
      </c>
      <c r="I1156" s="3" t="s">
        <v>71</v>
      </c>
      <c r="J1156" s="3" t="s">
        <v>392</v>
      </c>
      <c r="K1156" s="3" t="s">
        <v>1042</v>
      </c>
      <c r="L1156" s="4">
        <v>0.5625</v>
      </c>
      <c r="M1156" s="3" t="s">
        <v>994</v>
      </c>
      <c r="N1156" s="3" t="s">
        <v>24</v>
      </c>
      <c r="O1156" s="3"/>
    </row>
    <row r="1157" spans="1:15">
      <c r="A1157" s="3" t="s">
        <v>15</v>
      </c>
      <c r="B1157" s="3" t="str">
        <f>"FES1162740782"</f>
        <v>FES1162740782</v>
      </c>
      <c r="C1157" s="3" t="s">
        <v>662</v>
      </c>
      <c r="D1157" s="3">
        <v>1</v>
      </c>
      <c r="E1157" s="3" t="str">
        <f>"2170732434"</f>
        <v>2170732434</v>
      </c>
      <c r="F1157" s="3" t="s">
        <v>17</v>
      </c>
      <c r="G1157" s="3" t="s">
        <v>18</v>
      </c>
      <c r="H1157" s="3" t="s">
        <v>18</v>
      </c>
      <c r="I1157" s="3" t="s">
        <v>33</v>
      </c>
      <c r="J1157" s="3" t="s">
        <v>34</v>
      </c>
      <c r="K1157" s="3" t="s">
        <v>1042</v>
      </c>
      <c r="L1157" s="4">
        <v>0.40069444444444446</v>
      </c>
      <c r="M1157" s="3" t="s">
        <v>945</v>
      </c>
      <c r="N1157" s="3" t="s">
        <v>24</v>
      </c>
      <c r="O1157" s="3"/>
    </row>
    <row r="1158" spans="1:15">
      <c r="A1158" s="3" t="s">
        <v>15</v>
      </c>
      <c r="B1158" s="3" t="str">
        <f>"FES1162740819"</f>
        <v>FES1162740819</v>
      </c>
      <c r="C1158" s="3" t="s">
        <v>662</v>
      </c>
      <c r="D1158" s="3">
        <v>1</v>
      </c>
      <c r="E1158" s="3" t="str">
        <f>"2170732471"</f>
        <v>2170732471</v>
      </c>
      <c r="F1158" s="3" t="s">
        <v>17</v>
      </c>
      <c r="G1158" s="3" t="s">
        <v>18</v>
      </c>
      <c r="H1158" s="3" t="s">
        <v>18</v>
      </c>
      <c r="I1158" s="3" t="s">
        <v>291</v>
      </c>
      <c r="J1158" s="3" t="s">
        <v>1182</v>
      </c>
      <c r="K1158" s="3" t="s">
        <v>1042</v>
      </c>
      <c r="L1158" s="4">
        <v>0.41666666666666669</v>
      </c>
      <c r="M1158" s="3" t="s">
        <v>1183</v>
      </c>
      <c r="N1158" s="3" t="s">
        <v>24</v>
      </c>
      <c r="O1158" s="3"/>
    </row>
    <row r="1159" spans="1:15">
      <c r="A1159" s="3" t="s">
        <v>15</v>
      </c>
      <c r="B1159" s="3" t="str">
        <f>"FES1162740809"</f>
        <v>FES1162740809</v>
      </c>
      <c r="C1159" s="3" t="s">
        <v>662</v>
      </c>
      <c r="D1159" s="3">
        <v>1</v>
      </c>
      <c r="E1159" s="3" t="str">
        <f>"2170732457"</f>
        <v>2170732457</v>
      </c>
      <c r="F1159" s="3" t="s">
        <v>17</v>
      </c>
      <c r="G1159" s="3" t="s">
        <v>18</v>
      </c>
      <c r="H1159" s="3" t="s">
        <v>70</v>
      </c>
      <c r="I1159" s="3" t="s">
        <v>71</v>
      </c>
      <c r="J1159" s="3" t="s">
        <v>1184</v>
      </c>
      <c r="K1159" s="3" t="s">
        <v>1042</v>
      </c>
      <c r="L1159" s="4">
        <v>0.3972222222222222</v>
      </c>
      <c r="M1159" s="3" t="s">
        <v>1185</v>
      </c>
      <c r="N1159" s="3" t="s">
        <v>24</v>
      </c>
      <c r="O1159" s="3"/>
    </row>
    <row r="1160" spans="1:15">
      <c r="A1160" s="3" t="s">
        <v>15</v>
      </c>
      <c r="B1160" s="3" t="str">
        <f>"FES1162740800"</f>
        <v>FES1162740800</v>
      </c>
      <c r="C1160" s="3" t="s">
        <v>662</v>
      </c>
      <c r="D1160" s="3">
        <v>1</v>
      </c>
      <c r="E1160" s="3" t="str">
        <f>"2170731592"</f>
        <v>2170731592</v>
      </c>
      <c r="F1160" s="3" t="s">
        <v>17</v>
      </c>
      <c r="G1160" s="3" t="s">
        <v>18</v>
      </c>
      <c r="H1160" s="3" t="s">
        <v>70</v>
      </c>
      <c r="I1160" s="3" t="s">
        <v>931</v>
      </c>
      <c r="J1160" s="3" t="s">
        <v>497</v>
      </c>
      <c r="K1160" s="3" t="s">
        <v>1042</v>
      </c>
      <c r="L1160" s="4">
        <v>0.4777777777777778</v>
      </c>
      <c r="M1160" s="3" t="s">
        <v>932</v>
      </c>
      <c r="N1160" s="3" t="s">
        <v>24</v>
      </c>
      <c r="O1160" s="3"/>
    </row>
    <row r="1161" spans="1:15">
      <c r="A1161" s="3" t="s">
        <v>15</v>
      </c>
      <c r="B1161" s="3" t="str">
        <f>"FES1162740816"</f>
        <v>FES1162740816</v>
      </c>
      <c r="C1161" s="3" t="s">
        <v>662</v>
      </c>
      <c r="D1161" s="3">
        <v>1</v>
      </c>
      <c r="E1161" s="3" t="str">
        <f>"2170732469"</f>
        <v>2170732469</v>
      </c>
      <c r="F1161" s="3" t="s">
        <v>17</v>
      </c>
      <c r="G1161" s="3" t="s">
        <v>18</v>
      </c>
      <c r="H1161" s="3" t="s">
        <v>19</v>
      </c>
      <c r="I1161" s="3" t="s">
        <v>277</v>
      </c>
      <c r="J1161" s="3" t="s">
        <v>278</v>
      </c>
      <c r="K1161" s="3" t="s">
        <v>1042</v>
      </c>
      <c r="L1161" s="4">
        <v>0.43124999999999997</v>
      </c>
      <c r="M1161" s="3" t="s">
        <v>279</v>
      </c>
      <c r="N1161" s="3" t="s">
        <v>24</v>
      </c>
      <c r="O1161" s="3"/>
    </row>
    <row r="1162" spans="1:15">
      <c r="A1162" s="3" t="s">
        <v>15</v>
      </c>
      <c r="B1162" s="3" t="str">
        <f>"FES1162740792"</f>
        <v>FES1162740792</v>
      </c>
      <c r="C1162" s="3" t="s">
        <v>662</v>
      </c>
      <c r="D1162" s="3">
        <v>1</v>
      </c>
      <c r="E1162" s="3" t="str">
        <f>"2170732448"</f>
        <v>2170732448</v>
      </c>
      <c r="F1162" s="3" t="s">
        <v>17</v>
      </c>
      <c r="G1162" s="3" t="s">
        <v>18</v>
      </c>
      <c r="H1162" s="3" t="s">
        <v>18</v>
      </c>
      <c r="I1162" s="3" t="s">
        <v>313</v>
      </c>
      <c r="J1162" s="3" t="s">
        <v>1186</v>
      </c>
      <c r="K1162" s="3" t="s">
        <v>1042</v>
      </c>
      <c r="L1162" s="4">
        <v>0.35416666666666669</v>
      </c>
      <c r="M1162" s="3" t="s">
        <v>1187</v>
      </c>
      <c r="N1162" s="3" t="s">
        <v>24</v>
      </c>
      <c r="O1162" s="3"/>
    </row>
    <row r="1163" spans="1:15">
      <c r="A1163" s="3" t="s">
        <v>15</v>
      </c>
      <c r="B1163" s="3" t="str">
        <f>"FES1162740794"</f>
        <v>FES1162740794</v>
      </c>
      <c r="C1163" s="3" t="s">
        <v>662</v>
      </c>
      <c r="D1163" s="3">
        <v>1</v>
      </c>
      <c r="E1163" s="3" t="str">
        <f>"2170729369"</f>
        <v>2170729369</v>
      </c>
      <c r="F1163" s="3" t="s">
        <v>17</v>
      </c>
      <c r="G1163" s="3" t="s">
        <v>18</v>
      </c>
      <c r="H1163" s="3" t="s">
        <v>19</v>
      </c>
      <c r="I1163" s="3" t="s">
        <v>20</v>
      </c>
      <c r="J1163" s="3" t="s">
        <v>420</v>
      </c>
      <c r="K1163" s="3" t="s">
        <v>1042</v>
      </c>
      <c r="L1163" s="4">
        <v>0.33333333333333331</v>
      </c>
      <c r="M1163" s="3" t="s">
        <v>1188</v>
      </c>
      <c r="N1163" s="3" t="s">
        <v>24</v>
      </c>
      <c r="O1163" s="3"/>
    </row>
    <row r="1164" spans="1:15">
      <c r="A1164" s="3" t="s">
        <v>15</v>
      </c>
      <c r="B1164" s="3" t="str">
        <f>"FES1162740802"</f>
        <v>FES1162740802</v>
      </c>
      <c r="C1164" s="3" t="s">
        <v>662</v>
      </c>
      <c r="D1164" s="3">
        <v>1</v>
      </c>
      <c r="E1164" s="3" t="str">
        <f>"2170731912"</f>
        <v>2170731912</v>
      </c>
      <c r="F1164" s="3" t="s">
        <v>17</v>
      </c>
      <c r="G1164" s="3" t="s">
        <v>18</v>
      </c>
      <c r="H1164" s="3" t="s">
        <v>70</v>
      </c>
      <c r="I1164" s="3" t="s">
        <v>71</v>
      </c>
      <c r="J1164" s="3" t="s">
        <v>392</v>
      </c>
      <c r="K1164" s="3" t="s">
        <v>1042</v>
      </c>
      <c r="L1164" s="4">
        <v>0.55555555555555558</v>
      </c>
      <c r="M1164" s="3" t="s">
        <v>994</v>
      </c>
      <c r="N1164" s="3" t="s">
        <v>24</v>
      </c>
      <c r="O1164" s="3"/>
    </row>
    <row r="1165" spans="1:15">
      <c r="A1165" s="3" t="s">
        <v>15</v>
      </c>
      <c r="B1165" s="3" t="str">
        <f>"FES1162740811"</f>
        <v>FES1162740811</v>
      </c>
      <c r="C1165" s="3" t="s">
        <v>662</v>
      </c>
      <c r="D1165" s="3">
        <v>1</v>
      </c>
      <c r="E1165" s="3" t="str">
        <f>"2170732460"</f>
        <v>2170732460</v>
      </c>
      <c r="F1165" s="3" t="s">
        <v>17</v>
      </c>
      <c r="G1165" s="3" t="s">
        <v>18</v>
      </c>
      <c r="H1165" s="3" t="s">
        <v>18</v>
      </c>
      <c r="I1165" s="3" t="s">
        <v>222</v>
      </c>
      <c r="J1165" s="3" t="s">
        <v>716</v>
      </c>
      <c r="K1165" s="3" t="s">
        <v>1042</v>
      </c>
      <c r="L1165" s="4">
        <v>0.42708333333333331</v>
      </c>
      <c r="M1165" s="3" t="s">
        <v>1189</v>
      </c>
      <c r="N1165" s="3" t="s">
        <v>24</v>
      </c>
      <c r="O1165" s="3"/>
    </row>
    <row r="1166" spans="1:15">
      <c r="A1166" s="3" t="s">
        <v>15</v>
      </c>
      <c r="B1166" s="3" t="str">
        <f>"FES1162740888"</f>
        <v>FES1162740888</v>
      </c>
      <c r="C1166" s="3" t="s">
        <v>662</v>
      </c>
      <c r="D1166" s="3">
        <v>1</v>
      </c>
      <c r="E1166" s="3" t="str">
        <f>"2170732550"</f>
        <v>2170732550</v>
      </c>
      <c r="F1166" s="3" t="s">
        <v>17</v>
      </c>
      <c r="G1166" s="3" t="s">
        <v>18</v>
      </c>
      <c r="H1166" s="3" t="s">
        <v>36</v>
      </c>
      <c r="I1166" s="3" t="s">
        <v>37</v>
      </c>
      <c r="J1166" s="3" t="s">
        <v>801</v>
      </c>
      <c r="K1166" s="3" t="s">
        <v>1042</v>
      </c>
      <c r="L1166" s="4">
        <v>0.3527777777777778</v>
      </c>
      <c r="M1166" s="3" t="s">
        <v>802</v>
      </c>
      <c r="N1166" s="3" t="s">
        <v>24</v>
      </c>
      <c r="O1166" s="3"/>
    </row>
    <row r="1167" spans="1:15">
      <c r="A1167" s="3" t="s">
        <v>15</v>
      </c>
      <c r="B1167" s="3" t="str">
        <f>"FES1162740822"</f>
        <v>FES1162740822</v>
      </c>
      <c r="C1167" s="3" t="s">
        <v>662</v>
      </c>
      <c r="D1167" s="3">
        <v>1</v>
      </c>
      <c r="E1167" s="3" t="str">
        <f>"2170732475"</f>
        <v>2170732475</v>
      </c>
      <c r="F1167" s="3" t="s">
        <v>17</v>
      </c>
      <c r="G1167" s="3" t="s">
        <v>18</v>
      </c>
      <c r="H1167" s="3" t="s">
        <v>18</v>
      </c>
      <c r="I1167" s="3" t="s">
        <v>184</v>
      </c>
      <c r="J1167" s="3" t="s">
        <v>185</v>
      </c>
      <c r="K1167" s="3" t="s">
        <v>1190</v>
      </c>
      <c r="L1167" s="4">
        <v>0.29166666666666669</v>
      </c>
      <c r="M1167" s="3" t="s">
        <v>1191</v>
      </c>
      <c r="N1167" s="3" t="s">
        <v>24</v>
      </c>
      <c r="O1167" s="3"/>
    </row>
    <row r="1168" spans="1:15">
      <c r="A1168" s="3" t="s">
        <v>15</v>
      </c>
      <c r="B1168" s="3" t="str">
        <f>"FES1162740891"</f>
        <v>FES1162740891</v>
      </c>
      <c r="C1168" s="3" t="s">
        <v>662</v>
      </c>
      <c r="D1168" s="3">
        <v>1</v>
      </c>
      <c r="E1168" s="3" t="str">
        <f>"2170732554"</f>
        <v>2170732554</v>
      </c>
      <c r="F1168" s="3" t="s">
        <v>17</v>
      </c>
      <c r="G1168" s="3" t="s">
        <v>18</v>
      </c>
      <c r="H1168" s="3" t="s">
        <v>36</v>
      </c>
      <c r="I1168" s="3" t="s">
        <v>174</v>
      </c>
      <c r="J1168" s="3" t="s">
        <v>451</v>
      </c>
      <c r="K1168" s="3" t="s">
        <v>1042</v>
      </c>
      <c r="L1168" s="4">
        <v>0.3444444444444445</v>
      </c>
      <c r="M1168" s="3" t="s">
        <v>1192</v>
      </c>
      <c r="N1168" s="3" t="s">
        <v>24</v>
      </c>
      <c r="O1168" s="3"/>
    </row>
    <row r="1169" spans="1:15">
      <c r="A1169" s="3" t="s">
        <v>15</v>
      </c>
      <c r="B1169" s="3" t="str">
        <f>"FES1162740791"</f>
        <v>FES1162740791</v>
      </c>
      <c r="C1169" s="3" t="s">
        <v>662</v>
      </c>
      <c r="D1169" s="3">
        <v>1</v>
      </c>
      <c r="E1169" s="3" t="str">
        <f>"2170732447"</f>
        <v>2170732447</v>
      </c>
      <c r="F1169" s="3" t="s">
        <v>17</v>
      </c>
      <c r="G1169" s="3" t="s">
        <v>18</v>
      </c>
      <c r="H1169" s="3" t="s">
        <v>66</v>
      </c>
      <c r="I1169" s="3" t="s">
        <v>67</v>
      </c>
      <c r="J1169" s="3" t="s">
        <v>1193</v>
      </c>
      <c r="K1169" s="3" t="s">
        <v>1042</v>
      </c>
      <c r="L1169" s="4">
        <v>0.31736111111111115</v>
      </c>
      <c r="M1169" s="3" t="s">
        <v>1194</v>
      </c>
      <c r="N1169" s="3" t="s">
        <v>24</v>
      </c>
      <c r="O1169" s="3"/>
    </row>
    <row r="1170" spans="1:15">
      <c r="A1170" s="3" t="s">
        <v>15</v>
      </c>
      <c r="B1170" s="3" t="str">
        <f>"FES1162740870"</f>
        <v>FES1162740870</v>
      </c>
      <c r="C1170" s="3" t="s">
        <v>662</v>
      </c>
      <c r="D1170" s="3">
        <v>1</v>
      </c>
      <c r="E1170" s="3" t="str">
        <f>"2170732530"</f>
        <v>2170732530</v>
      </c>
      <c r="F1170" s="3" t="s">
        <v>17</v>
      </c>
      <c r="G1170" s="3" t="s">
        <v>18</v>
      </c>
      <c r="H1170" s="3" t="s">
        <v>100</v>
      </c>
      <c r="I1170" s="3" t="s">
        <v>101</v>
      </c>
      <c r="J1170" s="3" t="s">
        <v>137</v>
      </c>
      <c r="K1170" s="3" t="s">
        <v>1042</v>
      </c>
      <c r="L1170" s="4">
        <v>0.30486111111111108</v>
      </c>
      <c r="M1170" s="3" t="s">
        <v>1195</v>
      </c>
      <c r="N1170" s="3" t="s">
        <v>24</v>
      </c>
      <c r="O1170" s="3"/>
    </row>
    <row r="1171" spans="1:15">
      <c r="A1171" s="3" t="s">
        <v>15</v>
      </c>
      <c r="B1171" s="3" t="str">
        <f>"FES1162740824"</f>
        <v>FES1162740824</v>
      </c>
      <c r="C1171" s="3" t="s">
        <v>662</v>
      </c>
      <c r="D1171" s="3">
        <v>1</v>
      </c>
      <c r="E1171" s="3" t="str">
        <f>"2170732478"</f>
        <v>2170732478</v>
      </c>
      <c r="F1171" s="3" t="s">
        <v>17</v>
      </c>
      <c r="G1171" s="3" t="s">
        <v>18</v>
      </c>
      <c r="H1171" s="3" t="s">
        <v>66</v>
      </c>
      <c r="I1171" s="3" t="s">
        <v>67</v>
      </c>
      <c r="J1171" s="3" t="s">
        <v>1196</v>
      </c>
      <c r="K1171" s="3" t="s">
        <v>1042</v>
      </c>
      <c r="L1171" s="4">
        <v>0.41666666666666669</v>
      </c>
      <c r="M1171" s="3" t="s">
        <v>268</v>
      </c>
      <c r="N1171" s="3" t="s">
        <v>24</v>
      </c>
      <c r="O1171" s="3"/>
    </row>
    <row r="1172" spans="1:15">
      <c r="A1172" s="3" t="s">
        <v>15</v>
      </c>
      <c r="B1172" s="3" t="str">
        <f>"FES1162740838"</f>
        <v>FES1162740838</v>
      </c>
      <c r="C1172" s="3" t="s">
        <v>662</v>
      </c>
      <c r="D1172" s="3">
        <v>1</v>
      </c>
      <c r="E1172" s="3" t="str">
        <f>"2170732492"</f>
        <v>2170732492</v>
      </c>
      <c r="F1172" s="3" t="s">
        <v>17</v>
      </c>
      <c r="G1172" s="3" t="s">
        <v>18</v>
      </c>
      <c r="H1172" s="3" t="s">
        <v>100</v>
      </c>
      <c r="I1172" s="3" t="s">
        <v>122</v>
      </c>
      <c r="J1172" s="3" t="s">
        <v>123</v>
      </c>
      <c r="K1172" s="3" t="s">
        <v>1042</v>
      </c>
      <c r="L1172" s="4">
        <v>0.41875000000000001</v>
      </c>
      <c r="M1172" s="3" t="s">
        <v>1197</v>
      </c>
      <c r="N1172" s="3" t="s">
        <v>24</v>
      </c>
      <c r="O1172" s="3"/>
    </row>
    <row r="1173" spans="1:15">
      <c r="A1173" s="3" t="s">
        <v>15</v>
      </c>
      <c r="B1173" s="3" t="str">
        <f>"FES1162740801"</f>
        <v>FES1162740801</v>
      </c>
      <c r="C1173" s="3" t="s">
        <v>662</v>
      </c>
      <c r="D1173" s="3">
        <v>1</v>
      </c>
      <c r="E1173" s="3" t="str">
        <f>"2170731607"</f>
        <v>2170731607</v>
      </c>
      <c r="F1173" s="3" t="s">
        <v>17</v>
      </c>
      <c r="G1173" s="3" t="s">
        <v>18</v>
      </c>
      <c r="H1173" s="3" t="s">
        <v>100</v>
      </c>
      <c r="I1173" s="3" t="s">
        <v>117</v>
      </c>
      <c r="J1173" s="3" t="s">
        <v>784</v>
      </c>
      <c r="K1173" s="3" t="s">
        <v>1042</v>
      </c>
      <c r="L1173" s="4">
        <v>0.5444444444444444</v>
      </c>
      <c r="M1173" s="3" t="s">
        <v>785</v>
      </c>
      <c r="N1173" s="3" t="s">
        <v>24</v>
      </c>
      <c r="O1173" s="3"/>
    </row>
    <row r="1174" spans="1:15">
      <c r="A1174" s="3" t="s">
        <v>15</v>
      </c>
      <c r="B1174" s="3" t="str">
        <f>"FES1162740797"</f>
        <v>FES1162740797</v>
      </c>
      <c r="C1174" s="3" t="s">
        <v>662</v>
      </c>
      <c r="D1174" s="3">
        <v>1</v>
      </c>
      <c r="E1174" s="3" t="str">
        <f>"2170731242"</f>
        <v>2170731242</v>
      </c>
      <c r="F1174" s="3" t="s">
        <v>17</v>
      </c>
      <c r="G1174" s="3" t="s">
        <v>18</v>
      </c>
      <c r="H1174" s="3" t="s">
        <v>46</v>
      </c>
      <c r="I1174" s="3" t="s">
        <v>1073</v>
      </c>
      <c r="J1174" s="3" t="s">
        <v>1198</v>
      </c>
      <c r="K1174" s="3" t="s">
        <v>1042</v>
      </c>
      <c r="L1174" s="4">
        <v>0.51944444444444449</v>
      </c>
      <c r="M1174" s="3" t="s">
        <v>1199</v>
      </c>
      <c r="N1174" s="3" t="s">
        <v>24</v>
      </c>
      <c r="O1174" s="3"/>
    </row>
    <row r="1175" spans="1:15">
      <c r="A1175" s="3" t="s">
        <v>15</v>
      </c>
      <c r="B1175" s="3" t="str">
        <f>"FES1162740796"</f>
        <v>FES1162740796</v>
      </c>
      <c r="C1175" s="3" t="s">
        <v>662</v>
      </c>
      <c r="D1175" s="3">
        <v>1</v>
      </c>
      <c r="E1175" s="3" t="str">
        <f>"2170731240"</f>
        <v>2170731240</v>
      </c>
      <c r="F1175" s="3" t="s">
        <v>17</v>
      </c>
      <c r="G1175" s="3" t="s">
        <v>18</v>
      </c>
      <c r="H1175" s="3" t="s">
        <v>46</v>
      </c>
      <c r="I1175" s="3" t="s">
        <v>1073</v>
      </c>
      <c r="J1175" s="3" t="s">
        <v>1198</v>
      </c>
      <c r="K1175" s="3" t="s">
        <v>1042</v>
      </c>
      <c r="L1175" s="4">
        <v>0.51874999999999993</v>
      </c>
      <c r="M1175" s="3" t="s">
        <v>1199</v>
      </c>
      <c r="N1175" s="3" t="s">
        <v>24</v>
      </c>
      <c r="O1175" s="3"/>
    </row>
    <row r="1176" spans="1:15">
      <c r="A1176" s="3" t="s">
        <v>15</v>
      </c>
      <c r="B1176" s="3" t="str">
        <f>"FES1162740855"</f>
        <v>FES1162740855</v>
      </c>
      <c r="C1176" s="3" t="s">
        <v>662</v>
      </c>
      <c r="D1176" s="3">
        <v>1</v>
      </c>
      <c r="E1176" s="3" t="str">
        <f>"2170732511"</f>
        <v>2170732511</v>
      </c>
      <c r="F1176" s="3" t="s">
        <v>17</v>
      </c>
      <c r="G1176" s="3" t="s">
        <v>18</v>
      </c>
      <c r="H1176" s="3" t="s">
        <v>36</v>
      </c>
      <c r="I1176" s="3" t="s">
        <v>37</v>
      </c>
      <c r="J1176" s="3" t="s">
        <v>505</v>
      </c>
      <c r="K1176" s="3" t="s">
        <v>1042</v>
      </c>
      <c r="L1176" s="4">
        <v>0.34722222222222227</v>
      </c>
      <c r="M1176" s="3" t="s">
        <v>878</v>
      </c>
      <c r="N1176" s="3" t="s">
        <v>24</v>
      </c>
      <c r="O1176" s="3"/>
    </row>
    <row r="1177" spans="1:15">
      <c r="A1177" s="3" t="s">
        <v>15</v>
      </c>
      <c r="B1177" s="3" t="str">
        <f>"FES1162740842"</f>
        <v>FES1162740842</v>
      </c>
      <c r="C1177" s="3" t="s">
        <v>662</v>
      </c>
      <c r="D1177" s="3">
        <v>1</v>
      </c>
      <c r="E1177" s="3" t="str">
        <f>"2170732497"</f>
        <v>2170732497</v>
      </c>
      <c r="F1177" s="3" t="s">
        <v>17</v>
      </c>
      <c r="G1177" s="3" t="s">
        <v>18</v>
      </c>
      <c r="H1177" s="3" t="s">
        <v>66</v>
      </c>
      <c r="I1177" s="3" t="s">
        <v>67</v>
      </c>
      <c r="J1177" s="3" t="s">
        <v>68</v>
      </c>
      <c r="K1177" s="3" t="s">
        <v>1042</v>
      </c>
      <c r="L1177" s="4">
        <v>0.38541666666666669</v>
      </c>
      <c r="M1177" s="3" t="s">
        <v>502</v>
      </c>
      <c r="N1177" s="3" t="s">
        <v>24</v>
      </c>
      <c r="O1177" s="3"/>
    </row>
    <row r="1178" spans="1:15">
      <c r="A1178" s="3" t="s">
        <v>15</v>
      </c>
      <c r="B1178" s="3" t="str">
        <f>"FES1162740785"</f>
        <v>FES1162740785</v>
      </c>
      <c r="C1178" s="3" t="s">
        <v>662</v>
      </c>
      <c r="D1178" s="3">
        <v>1</v>
      </c>
      <c r="E1178" s="3" t="str">
        <f>"2170732443"</f>
        <v>2170732443</v>
      </c>
      <c r="F1178" s="3" t="s">
        <v>17</v>
      </c>
      <c r="G1178" s="3" t="s">
        <v>18</v>
      </c>
      <c r="H1178" s="3" t="s">
        <v>36</v>
      </c>
      <c r="I1178" s="3" t="s">
        <v>37</v>
      </c>
      <c r="J1178" s="3" t="s">
        <v>585</v>
      </c>
      <c r="K1178" s="3" t="s">
        <v>1042</v>
      </c>
      <c r="L1178" s="4">
        <v>0.42986111111111108</v>
      </c>
      <c r="M1178" s="3" t="s">
        <v>862</v>
      </c>
      <c r="N1178" s="3" t="s">
        <v>24</v>
      </c>
      <c r="O1178" s="3"/>
    </row>
    <row r="1179" spans="1:15">
      <c r="A1179" s="3" t="s">
        <v>15</v>
      </c>
      <c r="B1179" s="3" t="str">
        <f>"FES1162740827"</f>
        <v>FES1162740827</v>
      </c>
      <c r="C1179" s="3" t="s">
        <v>662</v>
      </c>
      <c r="D1179" s="3">
        <v>1</v>
      </c>
      <c r="E1179" s="3" t="str">
        <f>"2170732481"</f>
        <v>2170732481</v>
      </c>
      <c r="F1179" s="3" t="s">
        <v>17</v>
      </c>
      <c r="G1179" s="3" t="s">
        <v>18</v>
      </c>
      <c r="H1179" s="3" t="s">
        <v>66</v>
      </c>
      <c r="I1179" s="3" t="s">
        <v>67</v>
      </c>
      <c r="J1179" s="3" t="s">
        <v>368</v>
      </c>
      <c r="K1179" s="3" t="s">
        <v>1042</v>
      </c>
      <c r="L1179" s="4">
        <v>0.33749999999999997</v>
      </c>
      <c r="M1179" s="3" t="s">
        <v>232</v>
      </c>
      <c r="N1179" s="3" t="s">
        <v>24</v>
      </c>
      <c r="O1179" s="3"/>
    </row>
    <row r="1180" spans="1:15">
      <c r="A1180" s="3" t="s">
        <v>15</v>
      </c>
      <c r="B1180" s="3" t="str">
        <f>"FES1162740826"</f>
        <v>FES1162740826</v>
      </c>
      <c r="C1180" s="3" t="s">
        <v>662</v>
      </c>
      <c r="D1180" s="3">
        <v>1</v>
      </c>
      <c r="E1180" s="3" t="str">
        <f>"2170732480"</f>
        <v>2170732480</v>
      </c>
      <c r="F1180" s="3" t="s">
        <v>17</v>
      </c>
      <c r="G1180" s="3" t="s">
        <v>18</v>
      </c>
      <c r="H1180" s="3" t="s">
        <v>18</v>
      </c>
      <c r="I1180" s="3" t="s">
        <v>29</v>
      </c>
      <c r="J1180" s="3" t="s">
        <v>568</v>
      </c>
      <c r="K1180" s="3" t="s">
        <v>1042</v>
      </c>
      <c r="L1180" s="4">
        <v>0.35625000000000001</v>
      </c>
      <c r="M1180" s="3" t="s">
        <v>1200</v>
      </c>
      <c r="N1180" s="3" t="s">
        <v>24</v>
      </c>
      <c r="O1180" s="3"/>
    </row>
    <row r="1181" spans="1:15">
      <c r="A1181" s="3" t="s">
        <v>15</v>
      </c>
      <c r="B1181" s="3" t="str">
        <f>"FES1162740790"</f>
        <v>FES1162740790</v>
      </c>
      <c r="C1181" s="3" t="s">
        <v>662</v>
      </c>
      <c r="D1181" s="3">
        <v>1</v>
      </c>
      <c r="E1181" s="3" t="str">
        <f>"2170732200"</f>
        <v>2170732200</v>
      </c>
      <c r="F1181" s="3" t="s">
        <v>17</v>
      </c>
      <c r="G1181" s="3" t="s">
        <v>18</v>
      </c>
      <c r="H1181" s="3" t="s">
        <v>18</v>
      </c>
      <c r="I1181" s="3" t="s">
        <v>33</v>
      </c>
      <c r="J1181" s="3" t="s">
        <v>34</v>
      </c>
      <c r="K1181" s="3" t="s">
        <v>1042</v>
      </c>
      <c r="L1181" s="4">
        <v>0.40138888888888885</v>
      </c>
      <c r="M1181" s="3" t="s">
        <v>444</v>
      </c>
      <c r="N1181" s="3" t="s">
        <v>24</v>
      </c>
      <c r="O1181" s="3"/>
    </row>
    <row r="1182" spans="1:15">
      <c r="A1182" s="3" t="s">
        <v>15</v>
      </c>
      <c r="B1182" s="3" t="str">
        <f>"FES1162740815"</f>
        <v>FES1162740815</v>
      </c>
      <c r="C1182" s="3" t="s">
        <v>662</v>
      </c>
      <c r="D1182" s="3">
        <v>1</v>
      </c>
      <c r="E1182" s="3" t="str">
        <f>"2170732467"</f>
        <v>2170732467</v>
      </c>
      <c r="F1182" s="3" t="s">
        <v>17</v>
      </c>
      <c r="G1182" s="3" t="s">
        <v>18</v>
      </c>
      <c r="H1182" s="3" t="s">
        <v>18</v>
      </c>
      <c r="I1182" s="3" t="s">
        <v>26</v>
      </c>
      <c r="J1182" s="3" t="s">
        <v>27</v>
      </c>
      <c r="K1182" s="3" t="s">
        <v>1042</v>
      </c>
      <c r="L1182" s="4">
        <v>0.375</v>
      </c>
      <c r="M1182" s="3" t="s">
        <v>200</v>
      </c>
      <c r="N1182" s="3" t="s">
        <v>24</v>
      </c>
      <c r="O1182" s="3"/>
    </row>
    <row r="1183" spans="1:15">
      <c r="A1183" s="3" t="s">
        <v>15</v>
      </c>
      <c r="B1183" s="3" t="str">
        <f>"FES1162740860"</f>
        <v>FES1162740860</v>
      </c>
      <c r="C1183" s="3" t="s">
        <v>662</v>
      </c>
      <c r="D1183" s="3">
        <v>1</v>
      </c>
      <c r="E1183" s="3" t="str">
        <f>"2170732436"</f>
        <v>2170732436</v>
      </c>
      <c r="F1183" s="3" t="s">
        <v>17</v>
      </c>
      <c r="G1183" s="3" t="s">
        <v>18</v>
      </c>
      <c r="H1183" s="3" t="s">
        <v>18</v>
      </c>
      <c r="I1183" s="3" t="s">
        <v>206</v>
      </c>
      <c r="J1183" s="3" t="s">
        <v>1201</v>
      </c>
      <c r="K1183" s="3" t="s">
        <v>1042</v>
      </c>
      <c r="L1183" s="4">
        <v>0.33333333333333331</v>
      </c>
      <c r="M1183" s="3" t="s">
        <v>1202</v>
      </c>
      <c r="N1183" s="3" t="s">
        <v>24</v>
      </c>
      <c r="O1183" s="3"/>
    </row>
    <row r="1184" spans="1:15">
      <c r="A1184" s="3" t="s">
        <v>15</v>
      </c>
      <c r="B1184" s="3" t="str">
        <f>"FES1162740788"</f>
        <v>FES1162740788</v>
      </c>
      <c r="C1184" s="3" t="s">
        <v>662</v>
      </c>
      <c r="D1184" s="3">
        <v>1</v>
      </c>
      <c r="E1184" s="3" t="str">
        <f>"2170732103"</f>
        <v>2170732103</v>
      </c>
      <c r="F1184" s="3" t="s">
        <v>17</v>
      </c>
      <c r="G1184" s="3" t="s">
        <v>18</v>
      </c>
      <c r="H1184" s="3" t="s">
        <v>18</v>
      </c>
      <c r="I1184" s="3" t="s">
        <v>33</v>
      </c>
      <c r="J1184" s="3" t="s">
        <v>34</v>
      </c>
      <c r="K1184" s="3" t="s">
        <v>1042</v>
      </c>
      <c r="L1184" s="4">
        <v>0.40069444444444446</v>
      </c>
      <c r="M1184" s="3" t="s">
        <v>945</v>
      </c>
      <c r="N1184" s="3" t="s">
        <v>24</v>
      </c>
      <c r="O1184" s="3"/>
    </row>
    <row r="1185" spans="1:15">
      <c r="A1185" s="3" t="s">
        <v>15</v>
      </c>
      <c r="B1185" s="3" t="str">
        <f>"FES1162740803"</f>
        <v>FES1162740803</v>
      </c>
      <c r="C1185" s="3" t="s">
        <v>662</v>
      </c>
      <c r="D1185" s="3">
        <v>1</v>
      </c>
      <c r="E1185" s="3" t="str">
        <f>"2170732126"</f>
        <v>2170732126</v>
      </c>
      <c r="F1185" s="3" t="s">
        <v>17</v>
      </c>
      <c r="G1185" s="3" t="s">
        <v>18</v>
      </c>
      <c r="H1185" s="3" t="s">
        <v>18</v>
      </c>
      <c r="I1185" s="3" t="s">
        <v>903</v>
      </c>
      <c r="J1185" s="3" t="s">
        <v>1203</v>
      </c>
      <c r="K1185" s="3" t="s">
        <v>1042</v>
      </c>
      <c r="L1185" s="4">
        <v>0.4069444444444445</v>
      </c>
      <c r="M1185" s="3" t="s">
        <v>1204</v>
      </c>
      <c r="N1185" s="3" t="s">
        <v>24</v>
      </c>
      <c r="O1185" s="3"/>
    </row>
    <row r="1186" spans="1:15">
      <c r="A1186" s="3" t="s">
        <v>15</v>
      </c>
      <c r="B1186" s="3" t="str">
        <f>"FES1162740866"</f>
        <v>FES1162740866</v>
      </c>
      <c r="C1186" s="3" t="s">
        <v>662</v>
      </c>
      <c r="D1186" s="3">
        <v>1</v>
      </c>
      <c r="E1186" s="3" t="str">
        <f>"2170732503"</f>
        <v>2170732503</v>
      </c>
      <c r="F1186" s="3" t="s">
        <v>17</v>
      </c>
      <c r="G1186" s="3" t="s">
        <v>18</v>
      </c>
      <c r="H1186" s="3" t="s">
        <v>18</v>
      </c>
      <c r="I1186" s="3" t="s">
        <v>1205</v>
      </c>
      <c r="J1186" s="3" t="s">
        <v>1206</v>
      </c>
      <c r="K1186" s="3" t="s">
        <v>1042</v>
      </c>
      <c r="L1186" s="4">
        <v>0.375</v>
      </c>
      <c r="M1186" s="3" t="s">
        <v>268</v>
      </c>
      <c r="N1186" s="3" t="s">
        <v>24</v>
      </c>
      <c r="O1186" s="3"/>
    </row>
    <row r="1187" spans="1:15">
      <c r="A1187" s="3" t="s">
        <v>15</v>
      </c>
      <c r="B1187" s="3" t="str">
        <f>"FES1162740887"</f>
        <v>FES1162740887</v>
      </c>
      <c r="C1187" s="3" t="s">
        <v>662</v>
      </c>
      <c r="D1187" s="3">
        <v>1</v>
      </c>
      <c r="E1187" s="3" t="str">
        <f>"2170732549"</f>
        <v>2170732549</v>
      </c>
      <c r="F1187" s="3" t="s">
        <v>17</v>
      </c>
      <c r="G1187" s="3" t="s">
        <v>18</v>
      </c>
      <c r="H1187" s="3" t="s">
        <v>66</v>
      </c>
      <c r="I1187" s="3" t="s">
        <v>67</v>
      </c>
      <c r="J1187" s="3" t="s">
        <v>287</v>
      </c>
      <c r="K1187" s="3" t="s">
        <v>1042</v>
      </c>
      <c r="L1187" s="4">
        <v>0.3659722222222222</v>
      </c>
      <c r="M1187" s="3" t="s">
        <v>288</v>
      </c>
      <c r="N1187" s="3" t="s">
        <v>24</v>
      </c>
      <c r="O1187" s="3"/>
    </row>
    <row r="1188" spans="1:15">
      <c r="A1188" s="3" t="s">
        <v>15</v>
      </c>
      <c r="B1188" s="3" t="str">
        <f>"FES1162740895"</f>
        <v>FES1162740895</v>
      </c>
      <c r="C1188" s="3" t="s">
        <v>662</v>
      </c>
      <c r="D1188" s="3">
        <v>1</v>
      </c>
      <c r="E1188" s="3" t="str">
        <f>"2170732446"</f>
        <v>2170732446</v>
      </c>
      <c r="F1188" s="3" t="s">
        <v>17</v>
      </c>
      <c r="G1188" s="3" t="s">
        <v>18</v>
      </c>
      <c r="H1188" s="3" t="s">
        <v>36</v>
      </c>
      <c r="I1188" s="3" t="s">
        <v>37</v>
      </c>
      <c r="J1188" s="3" t="s">
        <v>505</v>
      </c>
      <c r="K1188" s="3" t="s">
        <v>1042</v>
      </c>
      <c r="L1188" s="4">
        <v>0.34722222222222227</v>
      </c>
      <c r="M1188" s="3" t="s">
        <v>878</v>
      </c>
      <c r="N1188" s="3" t="s">
        <v>24</v>
      </c>
      <c r="O1188" s="3"/>
    </row>
    <row r="1189" spans="1:15">
      <c r="A1189" s="3" t="s">
        <v>15</v>
      </c>
      <c r="B1189" s="3" t="str">
        <f>"FES1162740547"</f>
        <v>FES1162740547</v>
      </c>
      <c r="C1189" s="3" t="s">
        <v>662</v>
      </c>
      <c r="D1189" s="3">
        <v>1</v>
      </c>
      <c r="E1189" s="3" t="str">
        <f>"2170732164"</f>
        <v>2170732164</v>
      </c>
      <c r="F1189" s="3" t="s">
        <v>17</v>
      </c>
      <c r="G1189" s="3" t="s">
        <v>18</v>
      </c>
      <c r="H1189" s="3" t="s">
        <v>18</v>
      </c>
      <c r="I1189" s="3" t="s">
        <v>222</v>
      </c>
      <c r="J1189" s="3" t="s">
        <v>716</v>
      </c>
      <c r="K1189" s="3" t="s">
        <v>1042</v>
      </c>
      <c r="L1189" s="4">
        <v>0.42708333333333331</v>
      </c>
      <c r="M1189" s="3" t="s">
        <v>1189</v>
      </c>
      <c r="N1189" s="3" t="s">
        <v>24</v>
      </c>
      <c r="O1189" s="3"/>
    </row>
    <row r="1190" spans="1:15">
      <c r="A1190" s="3" t="s">
        <v>15</v>
      </c>
      <c r="B1190" s="3" t="str">
        <f>"FES1162740845"</f>
        <v>FES1162740845</v>
      </c>
      <c r="C1190" s="3" t="s">
        <v>662</v>
      </c>
      <c r="D1190" s="3">
        <v>1</v>
      </c>
      <c r="E1190" s="3" t="str">
        <f>"2170732500"</f>
        <v>2170732500</v>
      </c>
      <c r="F1190" s="3" t="s">
        <v>17</v>
      </c>
      <c r="G1190" s="3" t="s">
        <v>18</v>
      </c>
      <c r="H1190" s="3" t="s">
        <v>19</v>
      </c>
      <c r="I1190" s="3" t="s">
        <v>20</v>
      </c>
      <c r="J1190" s="3" t="s">
        <v>294</v>
      </c>
      <c r="K1190" s="3" t="s">
        <v>1042</v>
      </c>
      <c r="L1190" s="4">
        <v>0.43611111111111112</v>
      </c>
      <c r="M1190" s="3" t="s">
        <v>1207</v>
      </c>
      <c r="N1190" s="3" t="s">
        <v>24</v>
      </c>
      <c r="O1190" s="3"/>
    </row>
    <row r="1191" spans="1:15">
      <c r="A1191" s="3" t="s">
        <v>15</v>
      </c>
      <c r="B1191" s="3" t="str">
        <f>"FES1162740864"</f>
        <v>FES1162740864</v>
      </c>
      <c r="C1191" s="3" t="s">
        <v>662</v>
      </c>
      <c r="D1191" s="3">
        <v>1</v>
      </c>
      <c r="E1191" s="3" t="str">
        <f>"2170732523"</f>
        <v>2170732523</v>
      </c>
      <c r="F1191" s="3" t="s">
        <v>17</v>
      </c>
      <c r="G1191" s="3" t="s">
        <v>18</v>
      </c>
      <c r="H1191" s="3" t="s">
        <v>70</v>
      </c>
      <c r="I1191" s="3" t="s">
        <v>71</v>
      </c>
      <c r="J1191" s="3" t="s">
        <v>248</v>
      </c>
      <c r="K1191" s="3" t="s">
        <v>1042</v>
      </c>
      <c r="L1191" s="4">
        <v>0.38819444444444445</v>
      </c>
      <c r="M1191" s="3" t="s">
        <v>1208</v>
      </c>
      <c r="N1191" s="3" t="s">
        <v>24</v>
      </c>
      <c r="O1191" s="3"/>
    </row>
    <row r="1192" spans="1:15">
      <c r="A1192" s="3" t="s">
        <v>15</v>
      </c>
      <c r="B1192" s="3" t="str">
        <f>"FES1162740863"</f>
        <v>FES1162740863</v>
      </c>
      <c r="C1192" s="3" t="s">
        <v>662</v>
      </c>
      <c r="D1192" s="3">
        <v>1</v>
      </c>
      <c r="E1192" s="3" t="str">
        <f>"2170732522"</f>
        <v>2170732522</v>
      </c>
      <c r="F1192" s="3" t="s">
        <v>17</v>
      </c>
      <c r="G1192" s="3" t="s">
        <v>18</v>
      </c>
      <c r="H1192" s="3" t="s">
        <v>19</v>
      </c>
      <c r="I1192" s="3" t="s">
        <v>20</v>
      </c>
      <c r="J1192" s="3" t="s">
        <v>21</v>
      </c>
      <c r="K1192" s="3" t="s">
        <v>1042</v>
      </c>
      <c r="L1192" s="4">
        <v>0.3444444444444445</v>
      </c>
      <c r="M1192" s="3" t="s">
        <v>268</v>
      </c>
      <c r="N1192" s="3" t="s">
        <v>24</v>
      </c>
      <c r="O1192" s="3"/>
    </row>
    <row r="1193" spans="1:15">
      <c r="A1193" s="3" t="s">
        <v>15</v>
      </c>
      <c r="B1193" s="3" t="str">
        <f>"FES1162740874"</f>
        <v>FES1162740874</v>
      </c>
      <c r="C1193" s="3" t="s">
        <v>662</v>
      </c>
      <c r="D1193" s="3">
        <v>1</v>
      </c>
      <c r="E1193" s="3" t="str">
        <f>"2170732536"</f>
        <v>2170732536</v>
      </c>
      <c r="F1193" s="3" t="s">
        <v>17</v>
      </c>
      <c r="G1193" s="3" t="s">
        <v>18</v>
      </c>
      <c r="H1193" s="3" t="s">
        <v>100</v>
      </c>
      <c r="I1193" s="3" t="s">
        <v>101</v>
      </c>
      <c r="J1193" s="3" t="s">
        <v>125</v>
      </c>
      <c r="K1193" s="3" t="s">
        <v>1042</v>
      </c>
      <c r="L1193" s="4">
        <v>0.3</v>
      </c>
      <c r="M1193" s="3" t="s">
        <v>1209</v>
      </c>
      <c r="N1193" s="3" t="s">
        <v>24</v>
      </c>
      <c r="O1193" s="3"/>
    </row>
    <row r="1194" spans="1:15">
      <c r="A1194" s="3" t="s">
        <v>15</v>
      </c>
      <c r="B1194" s="3" t="str">
        <f>"FES1162740869"</f>
        <v>FES1162740869</v>
      </c>
      <c r="C1194" s="3" t="s">
        <v>662</v>
      </c>
      <c r="D1194" s="3">
        <v>1</v>
      </c>
      <c r="E1194" s="3" t="str">
        <f>"2170732529"</f>
        <v>2170732529</v>
      </c>
      <c r="F1194" s="3" t="s">
        <v>17</v>
      </c>
      <c r="G1194" s="3" t="s">
        <v>18</v>
      </c>
      <c r="H1194" s="3" t="s">
        <v>100</v>
      </c>
      <c r="I1194" s="3" t="s">
        <v>101</v>
      </c>
      <c r="J1194" s="3" t="s">
        <v>653</v>
      </c>
      <c r="K1194" s="3" t="s">
        <v>1042</v>
      </c>
      <c r="L1194" s="4">
        <v>0.39861111111111108</v>
      </c>
      <c r="M1194" s="3" t="s">
        <v>1210</v>
      </c>
      <c r="N1194" s="3" t="s">
        <v>24</v>
      </c>
      <c r="O1194" s="3"/>
    </row>
    <row r="1195" spans="1:15">
      <c r="A1195" s="3" t="s">
        <v>15</v>
      </c>
      <c r="B1195" s="3" t="str">
        <f>"FES1162740784"</f>
        <v>FES1162740784</v>
      </c>
      <c r="C1195" s="3" t="s">
        <v>662</v>
      </c>
      <c r="D1195" s="3">
        <v>1</v>
      </c>
      <c r="E1195" s="3" t="str">
        <f>"2170731766"</f>
        <v>2170731766</v>
      </c>
      <c r="F1195" s="3" t="s">
        <v>17</v>
      </c>
      <c r="G1195" s="3" t="s">
        <v>18</v>
      </c>
      <c r="H1195" s="3" t="s">
        <v>18</v>
      </c>
      <c r="I1195" s="3" t="s">
        <v>171</v>
      </c>
      <c r="J1195" s="3" t="s">
        <v>189</v>
      </c>
      <c r="K1195" s="3" t="s">
        <v>1042</v>
      </c>
      <c r="L1195" s="4">
        <v>0.41666666666666669</v>
      </c>
      <c r="M1195" s="3" t="s">
        <v>412</v>
      </c>
      <c r="N1195" s="3" t="s">
        <v>24</v>
      </c>
      <c r="O1195" s="3"/>
    </row>
    <row r="1196" spans="1:15">
      <c r="A1196" s="3" t="s">
        <v>15</v>
      </c>
      <c r="B1196" s="3" t="str">
        <f>"FES1162740853"</f>
        <v>FES1162740853</v>
      </c>
      <c r="C1196" s="3" t="s">
        <v>662</v>
      </c>
      <c r="D1196" s="3">
        <v>1</v>
      </c>
      <c r="E1196" s="3" t="str">
        <f>"2170732509"</f>
        <v>2170732509</v>
      </c>
      <c r="F1196" s="3" t="s">
        <v>17</v>
      </c>
      <c r="G1196" s="3" t="s">
        <v>18</v>
      </c>
      <c r="H1196" s="3" t="s">
        <v>100</v>
      </c>
      <c r="I1196" s="3" t="s">
        <v>101</v>
      </c>
      <c r="J1196" s="3" t="s">
        <v>1211</v>
      </c>
      <c r="K1196" s="3" t="s">
        <v>1042</v>
      </c>
      <c r="L1196" s="4">
        <v>0.40416666666666662</v>
      </c>
      <c r="M1196" s="3" t="s">
        <v>1212</v>
      </c>
      <c r="N1196" s="3" t="s">
        <v>24</v>
      </c>
      <c r="O1196" s="3"/>
    </row>
    <row r="1197" spans="1:15">
      <c r="A1197" s="3" t="s">
        <v>15</v>
      </c>
      <c r="B1197" s="3" t="str">
        <f>"FES1162740768"</f>
        <v>FES1162740768</v>
      </c>
      <c r="C1197" s="3" t="s">
        <v>662</v>
      </c>
      <c r="D1197" s="3">
        <v>1</v>
      </c>
      <c r="E1197" s="3" t="str">
        <f>"2170732419"</f>
        <v>2170732419</v>
      </c>
      <c r="F1197" s="3" t="s">
        <v>17</v>
      </c>
      <c r="G1197" s="3" t="s">
        <v>18</v>
      </c>
      <c r="H1197" s="3" t="s">
        <v>18</v>
      </c>
      <c r="I1197" s="3" t="s">
        <v>338</v>
      </c>
      <c r="J1197" s="3" t="s">
        <v>1213</v>
      </c>
      <c r="K1197" s="3" t="s">
        <v>1042</v>
      </c>
      <c r="L1197" s="4">
        <v>0.3263888888888889</v>
      </c>
      <c r="M1197" s="3" t="s">
        <v>1214</v>
      </c>
      <c r="N1197" s="3" t="s">
        <v>24</v>
      </c>
      <c r="O1197" s="3"/>
    </row>
    <row r="1198" spans="1:15">
      <c r="A1198" s="3" t="s">
        <v>15</v>
      </c>
      <c r="B1198" s="3" t="str">
        <f>"FES1162740807"</f>
        <v>FES1162740807</v>
      </c>
      <c r="C1198" s="3" t="s">
        <v>662</v>
      </c>
      <c r="D1198" s="3">
        <v>1</v>
      </c>
      <c r="E1198" s="3" t="str">
        <f>"217072370"</f>
        <v>217072370</v>
      </c>
      <c r="F1198" s="3" t="s">
        <v>17</v>
      </c>
      <c r="G1198" s="3" t="s">
        <v>18</v>
      </c>
      <c r="H1198" s="3" t="s">
        <v>18</v>
      </c>
      <c r="I1198" s="3" t="s">
        <v>33</v>
      </c>
      <c r="J1198" s="3" t="s">
        <v>1135</v>
      </c>
      <c r="K1198" s="3" t="s">
        <v>1042</v>
      </c>
      <c r="L1198" s="4">
        <v>0.33888888888888885</v>
      </c>
      <c r="M1198" s="3" t="s">
        <v>1215</v>
      </c>
      <c r="N1198" s="3" t="s">
        <v>24</v>
      </c>
      <c r="O1198" s="3"/>
    </row>
    <row r="1199" spans="1:15">
      <c r="A1199" s="3" t="s">
        <v>15</v>
      </c>
      <c r="B1199" s="3" t="str">
        <f>"FES1162740851"</f>
        <v>FES1162740851</v>
      </c>
      <c r="C1199" s="3" t="s">
        <v>662</v>
      </c>
      <c r="D1199" s="3">
        <v>1</v>
      </c>
      <c r="E1199" s="3" t="str">
        <f>"217072506"</f>
        <v>217072506</v>
      </c>
      <c r="F1199" s="3" t="s">
        <v>17</v>
      </c>
      <c r="G1199" s="3" t="s">
        <v>18</v>
      </c>
      <c r="H1199" s="3" t="s">
        <v>100</v>
      </c>
      <c r="I1199" s="3" t="s">
        <v>101</v>
      </c>
      <c r="J1199" s="3" t="s">
        <v>265</v>
      </c>
      <c r="K1199" s="3" t="s">
        <v>1042</v>
      </c>
      <c r="L1199" s="4">
        <v>0.35347222222222219</v>
      </c>
      <c r="M1199" s="3" t="s">
        <v>1216</v>
      </c>
      <c r="N1199" s="3" t="s">
        <v>24</v>
      </c>
      <c r="O1199" s="3"/>
    </row>
    <row r="1200" spans="1:15">
      <c r="A1200" s="3" t="s">
        <v>15</v>
      </c>
      <c r="B1200" s="3" t="str">
        <f>"FES1162740799"</f>
        <v>FES1162740799</v>
      </c>
      <c r="C1200" s="3" t="s">
        <v>662</v>
      </c>
      <c r="D1200" s="3">
        <v>1</v>
      </c>
      <c r="E1200" s="3" t="str">
        <f>"2170731386"</f>
        <v>2170731386</v>
      </c>
      <c r="F1200" s="3" t="s">
        <v>17</v>
      </c>
      <c r="G1200" s="3" t="s">
        <v>18</v>
      </c>
      <c r="H1200" s="3" t="s">
        <v>100</v>
      </c>
      <c r="I1200" s="3" t="s">
        <v>101</v>
      </c>
      <c r="J1200" s="3" t="s">
        <v>1217</v>
      </c>
      <c r="K1200" s="3" t="s">
        <v>1042</v>
      </c>
      <c r="L1200" s="4">
        <v>0.42777777777777781</v>
      </c>
      <c r="M1200" s="3" t="s">
        <v>1218</v>
      </c>
      <c r="N1200" s="3" t="s">
        <v>24</v>
      </c>
      <c r="O1200" s="3"/>
    </row>
    <row r="1201" spans="1:15">
      <c r="A1201" s="3" t="s">
        <v>15</v>
      </c>
      <c r="B1201" s="3" t="str">
        <f>"FES1162740805"</f>
        <v>FES1162740805</v>
      </c>
      <c r="C1201" s="3" t="s">
        <v>662</v>
      </c>
      <c r="D1201" s="3">
        <v>1</v>
      </c>
      <c r="E1201" s="3" t="str">
        <f>"2170732199"</f>
        <v>2170732199</v>
      </c>
      <c r="F1201" s="3" t="s">
        <v>17</v>
      </c>
      <c r="G1201" s="3" t="s">
        <v>18</v>
      </c>
      <c r="H1201" s="3" t="s">
        <v>70</v>
      </c>
      <c r="I1201" s="3" t="s">
        <v>71</v>
      </c>
      <c r="J1201" s="3" t="s">
        <v>72</v>
      </c>
      <c r="K1201" s="3" t="s">
        <v>1042</v>
      </c>
      <c r="L1201" s="4">
        <v>0.39583333333333331</v>
      </c>
      <c r="M1201" s="3" t="s">
        <v>1219</v>
      </c>
      <c r="N1201" s="3" t="s">
        <v>24</v>
      </c>
      <c r="O1201" s="3"/>
    </row>
    <row r="1202" spans="1:15">
      <c r="A1202" s="3" t="s">
        <v>15</v>
      </c>
      <c r="B1202" s="3" t="str">
        <f>"FES1162740798"</f>
        <v>FES1162740798</v>
      </c>
      <c r="C1202" s="3" t="s">
        <v>662</v>
      </c>
      <c r="D1202" s="3">
        <v>1</v>
      </c>
      <c r="E1202" s="3" t="str">
        <f>"2170731360"</f>
        <v>2170731360</v>
      </c>
      <c r="F1202" s="3" t="s">
        <v>17</v>
      </c>
      <c r="G1202" s="3" t="s">
        <v>18</v>
      </c>
      <c r="H1202" s="3" t="s">
        <v>19</v>
      </c>
      <c r="I1202" s="3" t="s">
        <v>20</v>
      </c>
      <c r="J1202" s="3" t="s">
        <v>1220</v>
      </c>
      <c r="K1202" s="3" t="s">
        <v>1042</v>
      </c>
      <c r="L1202" s="4">
        <v>0.51111111111111118</v>
      </c>
      <c r="M1202" s="3" t="s">
        <v>1221</v>
      </c>
      <c r="N1202" s="3" t="s">
        <v>24</v>
      </c>
      <c r="O1202" s="3"/>
    </row>
    <row r="1203" spans="1:15">
      <c r="A1203" s="3" t="s">
        <v>15</v>
      </c>
      <c r="B1203" s="3" t="str">
        <f>"FES1162740806"</f>
        <v>FES1162740806</v>
      </c>
      <c r="C1203" s="3" t="s">
        <v>662</v>
      </c>
      <c r="D1203" s="3">
        <v>1</v>
      </c>
      <c r="E1203" s="3" t="str">
        <f>"2170732281"</f>
        <v>2170732281</v>
      </c>
      <c r="F1203" s="3" t="s">
        <v>17</v>
      </c>
      <c r="G1203" s="3" t="s">
        <v>18</v>
      </c>
      <c r="H1203" s="3" t="s">
        <v>19</v>
      </c>
      <c r="I1203" s="3" t="s">
        <v>51</v>
      </c>
      <c r="J1203" s="3" t="s">
        <v>91</v>
      </c>
      <c r="K1203" s="3" t="s">
        <v>1042</v>
      </c>
      <c r="L1203" s="4">
        <v>0.39583333333333331</v>
      </c>
      <c r="M1203" s="3" t="s">
        <v>1222</v>
      </c>
      <c r="N1203" s="3" t="s">
        <v>24</v>
      </c>
      <c r="O1203" s="3"/>
    </row>
    <row r="1204" spans="1:15">
      <c r="A1204" s="5" t="s">
        <v>15</v>
      </c>
      <c r="B1204" s="5" t="str">
        <f>"FES1162740843"</f>
        <v>FES1162740843</v>
      </c>
      <c r="C1204" s="5" t="s">
        <v>662</v>
      </c>
      <c r="D1204" s="5">
        <v>1</v>
      </c>
      <c r="E1204" s="5" t="str">
        <f>"2170732198"</f>
        <v>2170732198</v>
      </c>
      <c r="F1204" s="5" t="s">
        <v>17</v>
      </c>
      <c r="G1204" s="5" t="s">
        <v>18</v>
      </c>
      <c r="H1204" s="5" t="s">
        <v>36</v>
      </c>
      <c r="I1204" s="5" t="s">
        <v>37</v>
      </c>
      <c r="J1204" s="5" t="s">
        <v>505</v>
      </c>
      <c r="K1204" s="5" t="s">
        <v>1042</v>
      </c>
      <c r="L1204" s="6">
        <v>0.34722222222222227</v>
      </c>
      <c r="M1204" s="5" t="s">
        <v>878</v>
      </c>
      <c r="N1204" s="5" t="s">
        <v>24</v>
      </c>
      <c r="O1204" s="5"/>
    </row>
    <row r="1205" spans="1:15">
      <c r="A1205" s="5" t="s">
        <v>15</v>
      </c>
      <c r="B1205" s="5" t="str">
        <f>"009935712242"</f>
        <v>009935712242</v>
      </c>
      <c r="C1205" s="5" t="s">
        <v>662</v>
      </c>
      <c r="D1205" s="5">
        <v>1</v>
      </c>
      <c r="E1205" s="5" t="str">
        <f>"21162729877"</f>
        <v>21162729877</v>
      </c>
      <c r="F1205" s="5" t="s">
        <v>17</v>
      </c>
      <c r="G1205" s="5" t="s">
        <v>18</v>
      </c>
      <c r="H1205" s="5" t="s">
        <v>66</v>
      </c>
      <c r="I1205" s="5" t="s">
        <v>67</v>
      </c>
      <c r="J1205" s="5" t="s">
        <v>1223</v>
      </c>
      <c r="K1205" s="5" t="s">
        <v>1042</v>
      </c>
      <c r="L1205" s="6">
        <v>0.49305555555555558</v>
      </c>
      <c r="M1205" s="5" t="s">
        <v>1224</v>
      </c>
      <c r="N1205" s="5" t="s">
        <v>24</v>
      </c>
      <c r="O1205" s="5"/>
    </row>
    <row r="1206" spans="1:15">
      <c r="A1206" s="5" t="s">
        <v>15</v>
      </c>
      <c r="B1206" s="5" t="str">
        <f>"FES1162740884"</f>
        <v>FES1162740884</v>
      </c>
      <c r="C1206" s="5" t="s">
        <v>662</v>
      </c>
      <c r="D1206" s="5">
        <v>1</v>
      </c>
      <c r="E1206" s="5" t="str">
        <f>"217073246"</f>
        <v>217073246</v>
      </c>
      <c r="F1206" s="5" t="s">
        <v>528</v>
      </c>
      <c r="G1206" s="5" t="s">
        <v>948</v>
      </c>
      <c r="H1206" s="5" t="s">
        <v>1225</v>
      </c>
      <c r="I1206" s="5" t="s">
        <v>1226</v>
      </c>
      <c r="J1206" s="5" t="s">
        <v>1227</v>
      </c>
      <c r="K1206" s="5" t="s">
        <v>1228</v>
      </c>
      <c r="L1206" s="6">
        <v>0.49305555555555558</v>
      </c>
      <c r="M1206" s="5" t="s">
        <v>1229</v>
      </c>
      <c r="N1206" s="5" t="s">
        <v>24</v>
      </c>
      <c r="O1206" s="5"/>
    </row>
    <row r="1207" spans="1:15">
      <c r="A1207" s="5" t="s">
        <v>15</v>
      </c>
      <c r="B1207" s="5" t="str">
        <f>"FES1162740795"</f>
        <v>FES1162740795</v>
      </c>
      <c r="C1207" s="5" t="s">
        <v>662</v>
      </c>
      <c r="D1207" s="5">
        <v>1</v>
      </c>
      <c r="E1207" s="5" t="str">
        <f>"2170732110"</f>
        <v>2170732110</v>
      </c>
      <c r="F1207" s="5" t="s">
        <v>17</v>
      </c>
      <c r="G1207" s="5" t="s">
        <v>18</v>
      </c>
      <c r="H1207" s="5" t="s">
        <v>66</v>
      </c>
      <c r="I1207" s="5" t="s">
        <v>67</v>
      </c>
      <c r="J1207" s="5" t="s">
        <v>278</v>
      </c>
      <c r="K1207" s="5" t="s">
        <v>1042</v>
      </c>
      <c r="L1207" s="6">
        <v>0.375</v>
      </c>
      <c r="M1207" s="5" t="s">
        <v>442</v>
      </c>
      <c r="N1207" s="5" t="s">
        <v>24</v>
      </c>
      <c r="O1207" s="5"/>
    </row>
    <row r="1208" spans="1:15">
      <c r="A1208" s="5" t="s">
        <v>15</v>
      </c>
      <c r="B1208" s="5" t="str">
        <f>"FES1162740823"</f>
        <v>FES1162740823</v>
      </c>
      <c r="C1208" s="5" t="s">
        <v>662</v>
      </c>
      <c r="D1208" s="5">
        <v>1</v>
      </c>
      <c r="E1208" s="5" t="str">
        <f>"2170732476"</f>
        <v>2170732476</v>
      </c>
      <c r="F1208" s="5" t="s">
        <v>17</v>
      </c>
      <c r="G1208" s="5" t="s">
        <v>18</v>
      </c>
      <c r="H1208" s="5" t="s">
        <v>66</v>
      </c>
      <c r="I1208" s="5" t="s">
        <v>67</v>
      </c>
      <c r="J1208" s="5" t="s">
        <v>543</v>
      </c>
      <c r="K1208" s="5" t="s">
        <v>1042</v>
      </c>
      <c r="L1208" s="6">
        <v>0.41180555555555554</v>
      </c>
      <c r="M1208" s="5" t="s">
        <v>1230</v>
      </c>
      <c r="N1208" s="5" t="s">
        <v>24</v>
      </c>
      <c r="O1208" s="5"/>
    </row>
    <row r="1209" spans="1:15">
      <c r="A1209" s="5" t="s">
        <v>15</v>
      </c>
      <c r="B1209" s="5" t="str">
        <f>"FES1162740808"</f>
        <v>FES1162740808</v>
      </c>
      <c r="C1209" s="5" t="s">
        <v>662</v>
      </c>
      <c r="D1209" s="5">
        <v>1</v>
      </c>
      <c r="E1209" s="5" t="str">
        <f>"2170732449"</f>
        <v>2170732449</v>
      </c>
      <c r="F1209" s="5" t="s">
        <v>528</v>
      </c>
      <c r="G1209" s="5" t="s">
        <v>948</v>
      </c>
      <c r="H1209" s="5" t="s">
        <v>948</v>
      </c>
      <c r="I1209" s="5" t="s">
        <v>158</v>
      </c>
      <c r="J1209" s="5" t="s">
        <v>159</v>
      </c>
      <c r="K1209" s="5" t="s">
        <v>1042</v>
      </c>
      <c r="L1209" s="6">
        <v>0.64236111111111105</v>
      </c>
      <c r="M1209" s="5" t="s">
        <v>211</v>
      </c>
      <c r="N1209" s="5" t="s">
        <v>24</v>
      </c>
      <c r="O1209" s="5"/>
    </row>
    <row r="1210" spans="1:15">
      <c r="A1210" s="5" t="s">
        <v>15</v>
      </c>
      <c r="B1210" s="5" t="str">
        <f>"FES1162740882"</f>
        <v>FES1162740882</v>
      </c>
      <c r="C1210" s="5" t="s">
        <v>662</v>
      </c>
      <c r="D1210" s="5">
        <v>1</v>
      </c>
      <c r="E1210" s="5" t="str">
        <f>"2170732543"</f>
        <v>2170732543</v>
      </c>
      <c r="F1210" s="5" t="s">
        <v>17</v>
      </c>
      <c r="G1210" s="5" t="s">
        <v>18</v>
      </c>
      <c r="H1210" s="5" t="s">
        <v>100</v>
      </c>
      <c r="I1210" s="5" t="s">
        <v>101</v>
      </c>
      <c r="J1210" s="5" t="s">
        <v>125</v>
      </c>
      <c r="K1210" s="5" t="s">
        <v>1042</v>
      </c>
      <c r="L1210" s="6">
        <v>0.3</v>
      </c>
      <c r="M1210" s="5" t="s">
        <v>1209</v>
      </c>
      <c r="N1210" s="5" t="s">
        <v>24</v>
      </c>
      <c r="O1210" s="5"/>
    </row>
    <row r="1211" spans="1:15">
      <c r="A1211" s="5" t="s">
        <v>15</v>
      </c>
      <c r="B1211" s="5" t="str">
        <f>"FES1162740839"</f>
        <v>FES1162740839</v>
      </c>
      <c r="C1211" s="5" t="s">
        <v>662</v>
      </c>
      <c r="D1211" s="5">
        <v>1</v>
      </c>
      <c r="E1211" s="5" t="str">
        <f>"2170732493"</f>
        <v>2170732493</v>
      </c>
      <c r="F1211" s="5" t="s">
        <v>17</v>
      </c>
      <c r="G1211" s="5" t="s">
        <v>18</v>
      </c>
      <c r="H1211" s="5" t="s">
        <v>70</v>
      </c>
      <c r="I1211" s="5" t="s">
        <v>71</v>
      </c>
      <c r="J1211" s="5" t="s">
        <v>243</v>
      </c>
      <c r="K1211" s="5" t="s">
        <v>1042</v>
      </c>
      <c r="L1211" s="6">
        <v>0.39583333333333331</v>
      </c>
      <c r="M1211" s="5" t="s">
        <v>1231</v>
      </c>
      <c r="N1211" s="5" t="s">
        <v>24</v>
      </c>
      <c r="O1211" s="5"/>
    </row>
    <row r="1212" spans="1:15">
      <c r="A1212" s="5" t="s">
        <v>15</v>
      </c>
      <c r="B1212" s="5" t="str">
        <f>"FES1162740846"</f>
        <v>FES1162740846</v>
      </c>
      <c r="C1212" s="5" t="s">
        <v>662</v>
      </c>
      <c r="D1212" s="5">
        <v>1</v>
      </c>
      <c r="E1212" s="5" t="str">
        <f>"2170732502"</f>
        <v>2170732502</v>
      </c>
      <c r="F1212" s="5" t="s">
        <v>17</v>
      </c>
      <c r="G1212" s="5" t="s">
        <v>18</v>
      </c>
      <c r="H1212" s="5" t="s">
        <v>19</v>
      </c>
      <c r="I1212" s="5" t="s">
        <v>445</v>
      </c>
      <c r="J1212" s="5" t="s">
        <v>446</v>
      </c>
      <c r="K1212" s="5" t="s">
        <v>1228</v>
      </c>
      <c r="L1212" s="6">
        <v>0.39583333333333331</v>
      </c>
      <c r="M1212" s="5" t="s">
        <v>1232</v>
      </c>
      <c r="N1212" s="5" t="s">
        <v>24</v>
      </c>
      <c r="O1212" s="5" t="s">
        <v>604</v>
      </c>
    </row>
    <row r="1213" spans="1:15">
      <c r="A1213" s="5" t="s">
        <v>15</v>
      </c>
      <c r="B1213" s="5" t="str">
        <f>"FES1162740857"</f>
        <v>FES1162740857</v>
      </c>
      <c r="C1213" s="5" t="s">
        <v>662</v>
      </c>
      <c r="D1213" s="5">
        <v>1</v>
      </c>
      <c r="E1213" s="5" t="str">
        <f>"2170732513"</f>
        <v>2170732513</v>
      </c>
      <c r="F1213" s="5" t="s">
        <v>17</v>
      </c>
      <c r="G1213" s="5" t="s">
        <v>18</v>
      </c>
      <c r="H1213" s="5" t="s">
        <v>18</v>
      </c>
      <c r="I1213" s="5" t="s">
        <v>171</v>
      </c>
      <c r="J1213" s="5" t="s">
        <v>204</v>
      </c>
      <c r="K1213" s="5" t="s">
        <v>1042</v>
      </c>
      <c r="L1213" s="6">
        <v>0.4375</v>
      </c>
      <c r="M1213" s="5" t="s">
        <v>205</v>
      </c>
      <c r="N1213" s="5" t="s">
        <v>24</v>
      </c>
      <c r="O1213" s="5"/>
    </row>
    <row r="1214" spans="1:15">
      <c r="A1214" s="5" t="s">
        <v>15</v>
      </c>
      <c r="B1214" s="5" t="str">
        <f>"FES1162740793"</f>
        <v>FES1162740793</v>
      </c>
      <c r="C1214" s="5" t="s">
        <v>662</v>
      </c>
      <c r="D1214" s="5">
        <v>1</v>
      </c>
      <c r="E1214" s="5" t="str">
        <f>"2170726988"</f>
        <v>2170726988</v>
      </c>
      <c r="F1214" s="5" t="s">
        <v>17</v>
      </c>
      <c r="G1214" s="5" t="s">
        <v>18</v>
      </c>
      <c r="H1214" s="5" t="s">
        <v>18</v>
      </c>
      <c r="I1214" s="5" t="s">
        <v>206</v>
      </c>
      <c r="J1214" s="5" t="s">
        <v>399</v>
      </c>
      <c r="K1214" s="5" t="s">
        <v>1042</v>
      </c>
      <c r="L1214" s="6">
        <v>0.33333333333333331</v>
      </c>
      <c r="M1214" s="5" t="s">
        <v>1202</v>
      </c>
      <c r="N1214" s="5" t="s">
        <v>24</v>
      </c>
      <c r="O1214" s="5"/>
    </row>
    <row r="1215" spans="1:15">
      <c r="A1215" s="5" t="s">
        <v>15</v>
      </c>
      <c r="B1215" s="5" t="str">
        <f>"FES1162740812"</f>
        <v>FES1162740812</v>
      </c>
      <c r="C1215" s="5" t="s">
        <v>662</v>
      </c>
      <c r="D1215" s="5">
        <v>1</v>
      </c>
      <c r="E1215" s="5" t="str">
        <f>"2170732462"</f>
        <v>2170732462</v>
      </c>
      <c r="F1215" s="5" t="s">
        <v>17</v>
      </c>
      <c r="G1215" s="5" t="s">
        <v>18</v>
      </c>
      <c r="H1215" s="5" t="s">
        <v>18</v>
      </c>
      <c r="I1215" s="5" t="s">
        <v>171</v>
      </c>
      <c r="J1215" s="5" t="s">
        <v>884</v>
      </c>
      <c r="K1215" s="5" t="s">
        <v>1042</v>
      </c>
      <c r="L1215" s="6">
        <v>0.4375</v>
      </c>
      <c r="M1215" s="5" t="s">
        <v>1233</v>
      </c>
      <c r="N1215" s="5" t="s">
        <v>24</v>
      </c>
      <c r="O1215" s="5"/>
    </row>
    <row r="1216" spans="1:15">
      <c r="A1216" s="5" t="s">
        <v>15</v>
      </c>
      <c r="B1216" s="5" t="str">
        <f>"FES1162740862"</f>
        <v>FES1162740862</v>
      </c>
      <c r="C1216" s="5" t="s">
        <v>662</v>
      </c>
      <c r="D1216" s="5">
        <v>1</v>
      </c>
      <c r="E1216" s="5" t="str">
        <f>"2170732520"</f>
        <v>2170732520</v>
      </c>
      <c r="F1216" s="5" t="s">
        <v>17</v>
      </c>
      <c r="G1216" s="5" t="s">
        <v>18</v>
      </c>
      <c r="H1216" s="5" t="s">
        <v>18</v>
      </c>
      <c r="I1216" s="5" t="s">
        <v>171</v>
      </c>
      <c r="J1216" s="5" t="s">
        <v>522</v>
      </c>
      <c r="K1216" s="5" t="s">
        <v>1042</v>
      </c>
      <c r="L1216" s="6">
        <v>0.375</v>
      </c>
      <c r="M1216" s="5" t="s">
        <v>1234</v>
      </c>
      <c r="N1216" s="5" t="s">
        <v>24</v>
      </c>
      <c r="O1216" s="5"/>
    </row>
    <row r="1217" spans="1:15">
      <c r="A1217" s="5" t="s">
        <v>15</v>
      </c>
      <c r="B1217" s="5" t="str">
        <f>"FES1162740880"</f>
        <v>FES1162740880</v>
      </c>
      <c r="C1217" s="5" t="s">
        <v>662</v>
      </c>
      <c r="D1217" s="5">
        <v>1</v>
      </c>
      <c r="E1217" s="5" t="str">
        <f>"21707306918"</f>
        <v>21707306918</v>
      </c>
      <c r="F1217" s="5" t="s">
        <v>17</v>
      </c>
      <c r="G1217" s="5" t="s">
        <v>18</v>
      </c>
      <c r="H1217" s="5" t="s">
        <v>18</v>
      </c>
      <c r="I1217" s="5" t="s">
        <v>29</v>
      </c>
      <c r="J1217" s="5" t="s">
        <v>493</v>
      </c>
      <c r="K1217" s="5" t="s">
        <v>1042</v>
      </c>
      <c r="L1217" s="6">
        <v>0.29166666666666669</v>
      </c>
      <c r="M1217" s="5" t="s">
        <v>494</v>
      </c>
      <c r="N1217" s="5" t="s">
        <v>24</v>
      </c>
      <c r="O1217" s="5"/>
    </row>
    <row r="1218" spans="1:15">
      <c r="A1218" s="3" t="s">
        <v>15</v>
      </c>
      <c r="B1218" s="3" t="str">
        <f>"FES1162740847"</f>
        <v>FES1162740847</v>
      </c>
      <c r="C1218" s="3" t="s">
        <v>662</v>
      </c>
      <c r="D1218" s="3">
        <v>1</v>
      </c>
      <c r="E1218" s="3" t="str">
        <f>"2170732504"</f>
        <v>2170732504</v>
      </c>
      <c r="F1218" s="3" t="s">
        <v>17</v>
      </c>
      <c r="G1218" s="3" t="s">
        <v>18</v>
      </c>
      <c r="H1218" s="3" t="s">
        <v>18</v>
      </c>
      <c r="I1218" s="3" t="s">
        <v>29</v>
      </c>
      <c r="J1218" s="3" t="s">
        <v>1116</v>
      </c>
      <c r="K1218" s="3" t="s">
        <v>1042</v>
      </c>
      <c r="L1218" s="4">
        <v>0.40138888888888885</v>
      </c>
      <c r="M1218" s="3" t="s">
        <v>1117</v>
      </c>
      <c r="N1218" s="3" t="s">
        <v>24</v>
      </c>
      <c r="O1218" s="3"/>
    </row>
    <row r="1219" spans="1:15">
      <c r="A1219" s="3" t="s">
        <v>15</v>
      </c>
      <c r="B1219" s="3" t="str">
        <f>"FES1162740840"</f>
        <v>FES1162740840</v>
      </c>
      <c r="C1219" s="3" t="s">
        <v>662</v>
      </c>
      <c r="D1219" s="3">
        <v>1</v>
      </c>
      <c r="E1219" s="3" t="str">
        <f>"21707324794"</f>
        <v>21707324794</v>
      </c>
      <c r="F1219" s="3" t="s">
        <v>17</v>
      </c>
      <c r="G1219" s="3" t="s">
        <v>18</v>
      </c>
      <c r="H1219" s="3" t="s">
        <v>18</v>
      </c>
      <c r="I1219" s="3" t="s">
        <v>309</v>
      </c>
      <c r="J1219" s="3" t="s">
        <v>467</v>
      </c>
      <c r="K1219" s="3" t="s">
        <v>1042</v>
      </c>
      <c r="L1219" s="4">
        <v>0.33958333333333335</v>
      </c>
      <c r="M1219" s="3" t="s">
        <v>1235</v>
      </c>
      <c r="N1219" s="3" t="s">
        <v>24</v>
      </c>
      <c r="O1219" s="3"/>
    </row>
    <row r="1220" spans="1:15">
      <c r="A1220" s="3" t="s">
        <v>15</v>
      </c>
      <c r="B1220" s="3" t="str">
        <f>"FES1162740877"</f>
        <v>FES1162740877</v>
      </c>
      <c r="C1220" s="3" t="s">
        <v>662</v>
      </c>
      <c r="D1220" s="3">
        <v>1</v>
      </c>
      <c r="E1220" s="3" t="str">
        <f>"2170732539"</f>
        <v>2170732539</v>
      </c>
      <c r="F1220" s="3" t="s">
        <v>17</v>
      </c>
      <c r="G1220" s="3" t="s">
        <v>18</v>
      </c>
      <c r="H1220" s="3" t="s">
        <v>19</v>
      </c>
      <c r="I1220" s="3" t="s">
        <v>277</v>
      </c>
      <c r="J1220" s="3" t="s">
        <v>937</v>
      </c>
      <c r="K1220" s="3" t="s">
        <v>1042</v>
      </c>
      <c r="L1220" s="4">
        <v>0.42986111111111108</v>
      </c>
      <c r="M1220" s="3" t="s">
        <v>938</v>
      </c>
      <c r="N1220" s="3" t="s">
        <v>24</v>
      </c>
      <c r="O1220" s="3"/>
    </row>
    <row r="1221" spans="1:15">
      <c r="A1221" s="3" t="s">
        <v>15</v>
      </c>
      <c r="B1221" s="3" t="str">
        <f>"FES1162740892"</f>
        <v>FES1162740892</v>
      </c>
      <c r="C1221" s="3" t="s">
        <v>662</v>
      </c>
      <c r="D1221" s="3">
        <v>1</v>
      </c>
      <c r="E1221" s="3" t="str">
        <f>"2170731345"</f>
        <v>2170731345</v>
      </c>
      <c r="F1221" s="3" t="s">
        <v>17</v>
      </c>
      <c r="G1221" s="3" t="s">
        <v>18</v>
      </c>
      <c r="H1221" s="3" t="s">
        <v>19</v>
      </c>
      <c r="I1221" s="3" t="s">
        <v>20</v>
      </c>
      <c r="J1221" s="3" t="s">
        <v>1141</v>
      </c>
      <c r="K1221" s="3" t="s">
        <v>1042</v>
      </c>
      <c r="L1221" s="4">
        <v>0.42708333333333331</v>
      </c>
      <c r="M1221" s="3" t="s">
        <v>105</v>
      </c>
      <c r="N1221" s="3" t="s">
        <v>24</v>
      </c>
      <c r="O1221" s="3"/>
    </row>
    <row r="1222" spans="1:15">
      <c r="A1222" s="3" t="s">
        <v>15</v>
      </c>
      <c r="B1222" s="3" t="str">
        <f>"FES1162740868"</f>
        <v>FES1162740868</v>
      </c>
      <c r="C1222" s="3" t="s">
        <v>662</v>
      </c>
      <c r="D1222" s="3">
        <v>1</v>
      </c>
      <c r="E1222" s="3" t="str">
        <f>"2170732528"</f>
        <v>2170732528</v>
      </c>
      <c r="F1222" s="3" t="s">
        <v>17</v>
      </c>
      <c r="G1222" s="3" t="s">
        <v>18</v>
      </c>
      <c r="H1222" s="3" t="s">
        <v>19</v>
      </c>
      <c r="I1222" s="3" t="s">
        <v>236</v>
      </c>
      <c r="J1222" s="3" t="s">
        <v>633</v>
      </c>
      <c r="K1222" s="3" t="s">
        <v>1042</v>
      </c>
      <c r="L1222" s="4">
        <v>0.41666666666666669</v>
      </c>
      <c r="M1222" s="3" t="s">
        <v>634</v>
      </c>
      <c r="N1222" s="3" t="s">
        <v>24</v>
      </c>
      <c r="O1222" s="3"/>
    </row>
    <row r="1223" spans="1:15">
      <c r="A1223" s="3" t="s">
        <v>15</v>
      </c>
      <c r="B1223" s="3" t="str">
        <f>"FES1162740813"</f>
        <v>FES1162740813</v>
      </c>
      <c r="C1223" s="3" t="s">
        <v>662</v>
      </c>
      <c r="D1223" s="3">
        <v>1</v>
      </c>
      <c r="E1223" s="3" t="str">
        <f>"2170732463"</f>
        <v>2170732463</v>
      </c>
      <c r="F1223" s="3" t="s">
        <v>17</v>
      </c>
      <c r="G1223" s="3" t="s">
        <v>18</v>
      </c>
      <c r="H1223" s="3" t="s">
        <v>18</v>
      </c>
      <c r="I1223" s="3" t="s">
        <v>29</v>
      </c>
      <c r="J1223" s="3" t="s">
        <v>307</v>
      </c>
      <c r="K1223" s="3" t="s">
        <v>1042</v>
      </c>
      <c r="L1223" s="4">
        <v>0.39097222222222222</v>
      </c>
      <c r="M1223" s="3" t="s">
        <v>308</v>
      </c>
      <c r="N1223" s="3" t="s">
        <v>24</v>
      </c>
      <c r="O1223" s="3"/>
    </row>
    <row r="1224" spans="1:15">
      <c r="A1224" s="3" t="s">
        <v>15</v>
      </c>
      <c r="B1224" s="3" t="str">
        <f>"FES1162740899"</f>
        <v>FES1162740899</v>
      </c>
      <c r="C1224" s="3" t="s">
        <v>662</v>
      </c>
      <c r="D1224" s="3">
        <v>1</v>
      </c>
      <c r="E1224" s="3" t="str">
        <f>"2170731976"</f>
        <v>2170731976</v>
      </c>
      <c r="F1224" s="3" t="s">
        <v>17</v>
      </c>
      <c r="G1224" s="3" t="s">
        <v>18</v>
      </c>
      <c r="H1224" s="3" t="s">
        <v>19</v>
      </c>
      <c r="I1224" s="3" t="s">
        <v>51</v>
      </c>
      <c r="J1224" s="3" t="s">
        <v>1236</v>
      </c>
      <c r="K1224" s="3" t="s">
        <v>1042</v>
      </c>
      <c r="L1224" s="4">
        <v>0.36041666666666666</v>
      </c>
      <c r="M1224" s="3" t="s">
        <v>1237</v>
      </c>
      <c r="N1224" s="3" t="s">
        <v>24</v>
      </c>
      <c r="O1224" s="3"/>
    </row>
    <row r="1225" spans="1:15">
      <c r="A1225" s="3" t="s">
        <v>15</v>
      </c>
      <c r="B1225" s="3" t="str">
        <f>"FES1162740873"</f>
        <v>FES1162740873</v>
      </c>
      <c r="C1225" s="3" t="s">
        <v>662</v>
      </c>
      <c r="D1225" s="3">
        <v>1</v>
      </c>
      <c r="E1225" s="3" t="str">
        <f>"2170732531"</f>
        <v>2170732531</v>
      </c>
      <c r="F1225" s="3" t="s">
        <v>17</v>
      </c>
      <c r="G1225" s="3" t="s">
        <v>18</v>
      </c>
      <c r="H1225" s="3" t="s">
        <v>18</v>
      </c>
      <c r="I1225" s="3" t="s">
        <v>33</v>
      </c>
      <c r="J1225" s="3" t="s">
        <v>1238</v>
      </c>
      <c r="K1225" s="3" t="s">
        <v>1042</v>
      </c>
      <c r="L1225" s="4">
        <v>0.33333333333333331</v>
      </c>
      <c r="M1225" s="3" t="s">
        <v>1239</v>
      </c>
      <c r="N1225" s="3" t="s">
        <v>24</v>
      </c>
      <c r="O1225" s="3"/>
    </row>
    <row r="1226" spans="1:15">
      <c r="A1226" s="3" t="s">
        <v>15</v>
      </c>
      <c r="B1226" s="3" t="str">
        <f>"R009935712356"</f>
        <v>R009935712356</v>
      </c>
      <c r="C1226" s="3" t="s">
        <v>662</v>
      </c>
      <c r="D1226" s="3">
        <v>1</v>
      </c>
      <c r="E1226" s="3" t="str">
        <f>"1162733871"</f>
        <v>1162733871</v>
      </c>
      <c r="F1226" s="3" t="s">
        <v>17</v>
      </c>
      <c r="G1226" s="3" t="s">
        <v>18</v>
      </c>
      <c r="H1226" s="3" t="s">
        <v>18</v>
      </c>
      <c r="I1226" s="3" t="s">
        <v>29</v>
      </c>
      <c r="J1226" s="3" t="s">
        <v>30</v>
      </c>
      <c r="K1226" s="3" t="s">
        <v>1042</v>
      </c>
      <c r="L1226" s="4">
        <v>0.34930555555555554</v>
      </c>
      <c r="M1226" s="3" t="s">
        <v>31</v>
      </c>
      <c r="N1226" s="3" t="s">
        <v>24</v>
      </c>
      <c r="O1226" s="3"/>
    </row>
    <row r="1227" spans="1:15">
      <c r="A1227" s="3" t="s">
        <v>15</v>
      </c>
      <c r="B1227" s="3" t="str">
        <f>"019911311225"</f>
        <v>019911311225</v>
      </c>
      <c r="C1227" s="3" t="s">
        <v>662</v>
      </c>
      <c r="D1227" s="3">
        <v>1</v>
      </c>
      <c r="E1227" s="3" t="str">
        <f>"1703"</f>
        <v>1703</v>
      </c>
      <c r="F1227" s="3" t="s">
        <v>17</v>
      </c>
      <c r="G1227" s="3" t="s">
        <v>100</v>
      </c>
      <c r="H1227" s="3" t="s">
        <v>18</v>
      </c>
      <c r="I1227" s="3" t="s">
        <v>29</v>
      </c>
      <c r="J1227" s="3" t="s">
        <v>635</v>
      </c>
      <c r="K1227" s="3" t="s">
        <v>1042</v>
      </c>
      <c r="L1227" s="4">
        <v>0.34930555555555554</v>
      </c>
      <c r="M1227" s="3" t="s">
        <v>31</v>
      </c>
      <c r="N1227" s="3" t="s">
        <v>24</v>
      </c>
      <c r="O1227" s="3"/>
    </row>
    <row r="1228" spans="1:15">
      <c r="A1228" s="3" t="s">
        <v>15</v>
      </c>
      <c r="B1228" s="3" t="str">
        <f>"019911311226"</f>
        <v>019911311226</v>
      </c>
      <c r="C1228" s="3" t="s">
        <v>662</v>
      </c>
      <c r="D1228" s="3">
        <v>1</v>
      </c>
      <c r="E1228" s="3" t="str">
        <f>"1703"</f>
        <v>1703</v>
      </c>
      <c r="F1228" s="3" t="s">
        <v>17</v>
      </c>
      <c r="G1228" s="3" t="s">
        <v>100</v>
      </c>
      <c r="H1228" s="3" t="s">
        <v>18</v>
      </c>
      <c r="I1228" s="3" t="s">
        <v>29</v>
      </c>
      <c r="J1228" s="3" t="s">
        <v>635</v>
      </c>
      <c r="K1228" s="3" t="s">
        <v>1042</v>
      </c>
      <c r="L1228" s="4">
        <v>0.34930555555555554</v>
      </c>
      <c r="M1228" s="3" t="s">
        <v>31</v>
      </c>
      <c r="N1228" s="3" t="s">
        <v>24</v>
      </c>
      <c r="O1228" s="3"/>
    </row>
    <row r="1229" spans="1:15">
      <c r="A1229" s="3" t="s">
        <v>15</v>
      </c>
      <c r="B1229" s="3" t="str">
        <f>"FES1162740915"</f>
        <v>FES1162740915</v>
      </c>
      <c r="C1229" s="3" t="s">
        <v>662</v>
      </c>
      <c r="D1229" s="3">
        <v>1</v>
      </c>
      <c r="E1229" s="3" t="str">
        <f>"2170732056"</f>
        <v>2170732056</v>
      </c>
      <c r="F1229" s="3" t="s">
        <v>17</v>
      </c>
      <c r="G1229" s="3" t="s">
        <v>18</v>
      </c>
      <c r="H1229" s="3" t="s">
        <v>19</v>
      </c>
      <c r="I1229" s="3" t="s">
        <v>236</v>
      </c>
      <c r="J1229" s="3" t="s">
        <v>257</v>
      </c>
      <c r="K1229" s="3" t="s">
        <v>1042</v>
      </c>
      <c r="L1229" s="4">
        <v>0.34722222222222227</v>
      </c>
      <c r="M1229" s="3" t="s">
        <v>1240</v>
      </c>
      <c r="N1229" s="3" t="s">
        <v>24</v>
      </c>
      <c r="O1229" s="3"/>
    </row>
    <row r="1230" spans="1:15">
      <c r="A1230" s="3" t="s">
        <v>15</v>
      </c>
      <c r="B1230" s="3" t="str">
        <f>"FES1162740916"</f>
        <v>FES1162740916</v>
      </c>
      <c r="C1230" s="3" t="s">
        <v>662</v>
      </c>
      <c r="D1230" s="3">
        <v>1</v>
      </c>
      <c r="E1230" s="3" t="str">
        <f>"2170729369"</f>
        <v>2170729369</v>
      </c>
      <c r="F1230" s="3" t="s">
        <v>17</v>
      </c>
      <c r="G1230" s="3" t="s">
        <v>18</v>
      </c>
      <c r="H1230" s="3" t="s">
        <v>19</v>
      </c>
      <c r="I1230" s="3" t="s">
        <v>20</v>
      </c>
      <c r="J1230" s="3" t="s">
        <v>420</v>
      </c>
      <c r="K1230" s="3" t="s">
        <v>1042</v>
      </c>
      <c r="L1230" s="4">
        <v>0.33333333333333331</v>
      </c>
      <c r="M1230" s="3" t="s">
        <v>1188</v>
      </c>
      <c r="N1230" s="3" t="s">
        <v>24</v>
      </c>
      <c r="O1230" s="3"/>
    </row>
    <row r="1231" spans="1:15">
      <c r="A1231" s="3" t="s">
        <v>15</v>
      </c>
      <c r="B1231" s="3" t="str">
        <f>"FES1162740922"</f>
        <v>FES1162740922</v>
      </c>
      <c r="C1231" s="3" t="s">
        <v>662</v>
      </c>
      <c r="D1231" s="3">
        <v>1</v>
      </c>
      <c r="E1231" s="3" t="str">
        <f>"2170732591"</f>
        <v>2170732591</v>
      </c>
      <c r="F1231" s="3" t="s">
        <v>17</v>
      </c>
      <c r="G1231" s="3" t="s">
        <v>18</v>
      </c>
      <c r="H1231" s="3" t="s">
        <v>19</v>
      </c>
      <c r="I1231" s="3" t="s">
        <v>1241</v>
      </c>
      <c r="J1231" s="3" t="s">
        <v>1242</v>
      </c>
      <c r="K1231" s="3" t="s">
        <v>1042</v>
      </c>
      <c r="L1231" s="4">
        <v>0.52708333333333335</v>
      </c>
      <c r="M1231" s="3" t="s">
        <v>1243</v>
      </c>
      <c r="N1231" s="3" t="s">
        <v>24</v>
      </c>
      <c r="O1231" s="3"/>
    </row>
    <row r="1232" spans="1:15">
      <c r="A1232" s="3" t="s">
        <v>15</v>
      </c>
      <c r="B1232" s="3" t="str">
        <f>"FES1162740914"</f>
        <v>FES1162740914</v>
      </c>
      <c r="C1232" s="3" t="s">
        <v>662</v>
      </c>
      <c r="D1232" s="3">
        <v>1</v>
      </c>
      <c r="E1232" s="3" t="str">
        <f>"2170732576"</f>
        <v>2170732576</v>
      </c>
      <c r="F1232" s="3" t="s">
        <v>17</v>
      </c>
      <c r="G1232" s="3" t="s">
        <v>18</v>
      </c>
      <c r="H1232" s="3" t="s">
        <v>19</v>
      </c>
      <c r="I1232" s="3" t="s">
        <v>86</v>
      </c>
      <c r="J1232" s="3" t="s">
        <v>106</v>
      </c>
      <c r="K1232" s="3" t="s">
        <v>1042</v>
      </c>
      <c r="L1232" s="4">
        <v>0.35833333333333334</v>
      </c>
      <c r="M1232" s="3" t="s">
        <v>1244</v>
      </c>
      <c r="N1232" s="3" t="s">
        <v>24</v>
      </c>
      <c r="O1232" s="3"/>
    </row>
    <row r="1233" spans="1:15">
      <c r="A1233" s="3" t="s">
        <v>15</v>
      </c>
      <c r="B1233" s="3" t="str">
        <f>"FES1162740789"</f>
        <v>FES1162740789</v>
      </c>
      <c r="C1233" s="3" t="s">
        <v>662</v>
      </c>
      <c r="D1233" s="3">
        <v>1</v>
      </c>
      <c r="E1233" s="3" t="str">
        <f>"2170732155"</f>
        <v>2170732155</v>
      </c>
      <c r="F1233" s="3" t="s">
        <v>17</v>
      </c>
      <c r="G1233" s="3" t="s">
        <v>18</v>
      </c>
      <c r="H1233" s="3" t="s">
        <v>18</v>
      </c>
      <c r="I1233" s="3" t="s">
        <v>29</v>
      </c>
      <c r="J1233" s="3" t="s">
        <v>307</v>
      </c>
      <c r="K1233" s="3" t="s">
        <v>1042</v>
      </c>
      <c r="L1233" s="4">
        <v>0.39027777777777778</v>
      </c>
      <c r="M1233" s="3" t="s">
        <v>308</v>
      </c>
      <c r="N1233" s="3" t="s">
        <v>24</v>
      </c>
      <c r="O1233" s="3"/>
    </row>
    <row r="1234" spans="1:15">
      <c r="A1234" s="3" t="s">
        <v>15</v>
      </c>
      <c r="B1234" s="3" t="str">
        <f>"FES1162740787"</f>
        <v>FES1162740787</v>
      </c>
      <c r="C1234" s="3" t="s">
        <v>662</v>
      </c>
      <c r="D1234" s="3">
        <v>1</v>
      </c>
      <c r="E1234" s="3" t="str">
        <f>"2170732890"</f>
        <v>2170732890</v>
      </c>
      <c r="F1234" s="3" t="s">
        <v>528</v>
      </c>
      <c r="G1234" s="3" t="s">
        <v>948</v>
      </c>
      <c r="H1234" s="3" t="s">
        <v>948</v>
      </c>
      <c r="I1234" s="3" t="s">
        <v>309</v>
      </c>
      <c r="J1234" s="3" t="s">
        <v>978</v>
      </c>
      <c r="K1234" s="3" t="s">
        <v>1042</v>
      </c>
      <c r="L1234" s="4">
        <v>0.37361111111111112</v>
      </c>
      <c r="M1234" s="3" t="s">
        <v>1245</v>
      </c>
      <c r="N1234" s="3" t="s">
        <v>24</v>
      </c>
      <c r="O1234" s="3"/>
    </row>
    <row r="1235" spans="1:15">
      <c r="A1235" s="3" t="s">
        <v>15</v>
      </c>
      <c r="B1235" s="3" t="str">
        <f>"FES1162740911"</f>
        <v>FES1162740911</v>
      </c>
      <c r="C1235" s="3" t="s">
        <v>662</v>
      </c>
      <c r="D1235" s="3">
        <v>1</v>
      </c>
      <c r="E1235" s="3" t="str">
        <f>"2170732572"</f>
        <v>2170732572</v>
      </c>
      <c r="F1235" s="3" t="s">
        <v>17</v>
      </c>
      <c r="G1235" s="3" t="s">
        <v>18</v>
      </c>
      <c r="H1235" s="3" t="s">
        <v>100</v>
      </c>
      <c r="I1235" s="3" t="s">
        <v>101</v>
      </c>
      <c r="J1235" s="3" t="s">
        <v>1246</v>
      </c>
      <c r="K1235" s="3" t="s">
        <v>1042</v>
      </c>
      <c r="L1235" s="4">
        <v>0.40416666666666662</v>
      </c>
      <c r="M1235" s="3" t="s">
        <v>1247</v>
      </c>
      <c r="N1235" s="3" t="s">
        <v>24</v>
      </c>
      <c r="O1235" s="3"/>
    </row>
    <row r="1236" spans="1:15">
      <c r="A1236" s="3" t="s">
        <v>15</v>
      </c>
      <c r="B1236" s="3" t="str">
        <f>"FES1162740923"</f>
        <v>FES1162740923</v>
      </c>
      <c r="C1236" s="3" t="s">
        <v>662</v>
      </c>
      <c r="D1236" s="3">
        <v>1</v>
      </c>
      <c r="E1236" s="3" t="str">
        <f>"217072593"</f>
        <v>217072593</v>
      </c>
      <c r="F1236" s="3" t="s">
        <v>17</v>
      </c>
      <c r="G1236" s="3" t="s">
        <v>18</v>
      </c>
      <c r="H1236" s="3" t="s">
        <v>36</v>
      </c>
      <c r="I1236" s="3" t="s">
        <v>37</v>
      </c>
      <c r="J1236" s="3" t="s">
        <v>902</v>
      </c>
      <c r="K1236" s="3" t="s">
        <v>1042</v>
      </c>
      <c r="L1236" s="4">
        <v>0.43055555555555558</v>
      </c>
      <c r="M1236" s="3" t="s">
        <v>1248</v>
      </c>
      <c r="N1236" s="3" t="s">
        <v>24</v>
      </c>
      <c r="O1236" s="3"/>
    </row>
    <row r="1237" spans="1:15">
      <c r="A1237" s="3" t="s">
        <v>15</v>
      </c>
      <c r="B1237" s="3" t="str">
        <f>"FES1162740928"</f>
        <v>FES1162740928</v>
      </c>
      <c r="C1237" s="3" t="s">
        <v>662</v>
      </c>
      <c r="D1237" s="3">
        <v>1</v>
      </c>
      <c r="E1237" s="3" t="str">
        <f>"2170732601"</f>
        <v>2170732601</v>
      </c>
      <c r="F1237" s="3" t="s">
        <v>17</v>
      </c>
      <c r="G1237" s="3" t="s">
        <v>18</v>
      </c>
      <c r="H1237" s="3" t="s">
        <v>100</v>
      </c>
      <c r="I1237" s="3" t="s">
        <v>262</v>
      </c>
      <c r="J1237" s="3" t="s">
        <v>263</v>
      </c>
      <c r="K1237" s="3" t="s">
        <v>1190</v>
      </c>
      <c r="L1237" s="4">
        <v>0.42986111111111108</v>
      </c>
      <c r="M1237" s="3" t="s">
        <v>263</v>
      </c>
      <c r="N1237" s="3" t="s">
        <v>24</v>
      </c>
      <c r="O1237" s="3"/>
    </row>
    <row r="1238" spans="1:15">
      <c r="A1238" s="3" t="s">
        <v>15</v>
      </c>
      <c r="B1238" s="3" t="str">
        <f>"FES1162740878"</f>
        <v>FES1162740878</v>
      </c>
      <c r="C1238" s="3" t="s">
        <v>662</v>
      </c>
      <c r="D1238" s="3">
        <v>1</v>
      </c>
      <c r="E1238" s="3" t="str">
        <f>"217073254"</f>
        <v>217073254</v>
      </c>
      <c r="F1238" s="3" t="s">
        <v>17</v>
      </c>
      <c r="G1238" s="3" t="s">
        <v>18</v>
      </c>
      <c r="H1238" s="3" t="s">
        <v>948</v>
      </c>
      <c r="I1238" s="3" t="s">
        <v>341</v>
      </c>
      <c r="J1238" s="3" t="s">
        <v>1249</v>
      </c>
      <c r="K1238" s="3" t="s">
        <v>1042</v>
      </c>
      <c r="L1238" s="4">
        <v>0.41666666666666669</v>
      </c>
      <c r="M1238" s="3" t="s">
        <v>1250</v>
      </c>
      <c r="N1238" s="3" t="s">
        <v>24</v>
      </c>
      <c r="O1238" s="3"/>
    </row>
    <row r="1239" spans="1:15">
      <c r="A1239" s="3" t="s">
        <v>15</v>
      </c>
      <c r="B1239" s="3" t="str">
        <f>"FES1162740904"</f>
        <v>FES1162740904</v>
      </c>
      <c r="C1239" s="3" t="s">
        <v>662</v>
      </c>
      <c r="D1239" s="3">
        <v>1</v>
      </c>
      <c r="E1239" s="3" t="str">
        <f>"21707325660"</f>
        <v>21707325660</v>
      </c>
      <c r="F1239" s="3" t="s">
        <v>17</v>
      </c>
      <c r="G1239" s="3" t="s">
        <v>18</v>
      </c>
      <c r="H1239" s="3" t="s">
        <v>40</v>
      </c>
      <c r="I1239" s="3" t="s">
        <v>41</v>
      </c>
      <c r="J1239" s="3" t="s">
        <v>282</v>
      </c>
      <c r="K1239" s="3" t="s">
        <v>1042</v>
      </c>
      <c r="L1239" s="4">
        <v>0.38611111111111113</v>
      </c>
      <c r="M1239" s="3" t="s">
        <v>582</v>
      </c>
      <c r="N1239" s="3" t="s">
        <v>24</v>
      </c>
      <c r="O1239" s="3"/>
    </row>
    <row r="1240" spans="1:15">
      <c r="A1240" s="3" t="s">
        <v>15</v>
      </c>
      <c r="B1240" s="3" t="str">
        <f>"FES1162740902"</f>
        <v>FES1162740902</v>
      </c>
      <c r="C1240" s="3" t="s">
        <v>662</v>
      </c>
      <c r="D1240" s="3">
        <v>1</v>
      </c>
      <c r="E1240" s="3" t="str">
        <f>"2170732364"</f>
        <v>2170732364</v>
      </c>
      <c r="F1240" s="3" t="s">
        <v>17</v>
      </c>
      <c r="G1240" s="3" t="s">
        <v>18</v>
      </c>
      <c r="H1240" s="3" t="s">
        <v>100</v>
      </c>
      <c r="I1240" s="3" t="s">
        <v>117</v>
      </c>
      <c r="J1240" s="3" t="s">
        <v>285</v>
      </c>
      <c r="K1240" s="3" t="s">
        <v>1042</v>
      </c>
      <c r="L1240" s="4">
        <v>0.54722222222222217</v>
      </c>
      <c r="M1240" s="3" t="s">
        <v>286</v>
      </c>
      <c r="N1240" s="3" t="s">
        <v>24</v>
      </c>
      <c r="O1240" s="3"/>
    </row>
    <row r="1241" spans="1:15">
      <c r="A1241" s="3" t="s">
        <v>15</v>
      </c>
      <c r="B1241" s="3" t="str">
        <f>"FES1162740929"</f>
        <v>FES1162740929</v>
      </c>
      <c r="C1241" s="3" t="s">
        <v>662</v>
      </c>
      <c r="D1241" s="3">
        <v>1</v>
      </c>
      <c r="E1241" s="3" t="str">
        <f>"2170732602"</f>
        <v>2170732602</v>
      </c>
      <c r="F1241" s="3" t="s">
        <v>17</v>
      </c>
      <c r="G1241" s="3" t="s">
        <v>18</v>
      </c>
      <c r="H1241" s="3" t="s">
        <v>100</v>
      </c>
      <c r="I1241" s="3" t="s">
        <v>101</v>
      </c>
      <c r="J1241" s="3" t="s">
        <v>137</v>
      </c>
      <c r="K1241" s="3" t="s">
        <v>1042</v>
      </c>
      <c r="L1241" s="4">
        <v>0.30486111111111108</v>
      </c>
      <c r="M1241" s="3" t="s">
        <v>1195</v>
      </c>
      <c r="N1241" s="3" t="s">
        <v>24</v>
      </c>
      <c r="O1241" s="3"/>
    </row>
    <row r="1242" spans="1:15">
      <c r="A1242" s="5" t="s">
        <v>15</v>
      </c>
      <c r="B1242" s="5" t="str">
        <f>"FES1162740908"</f>
        <v>FES1162740908</v>
      </c>
      <c r="C1242" s="5" t="s">
        <v>662</v>
      </c>
      <c r="D1242" s="5">
        <v>1</v>
      </c>
      <c r="E1242" s="5" t="str">
        <f>"2170732567"</f>
        <v>2170732567</v>
      </c>
      <c r="F1242" s="5" t="s">
        <v>17</v>
      </c>
      <c r="G1242" s="5" t="s">
        <v>18</v>
      </c>
      <c r="H1242" s="5" t="s">
        <v>19</v>
      </c>
      <c r="I1242" s="5" t="s">
        <v>236</v>
      </c>
      <c r="J1242" s="5" t="s">
        <v>257</v>
      </c>
      <c r="K1242" s="5" t="s">
        <v>1042</v>
      </c>
      <c r="L1242" s="6">
        <v>0.34722222222222227</v>
      </c>
      <c r="M1242" s="5" t="s">
        <v>1240</v>
      </c>
      <c r="N1242" s="5" t="s">
        <v>24</v>
      </c>
      <c r="O1242" s="5"/>
    </row>
    <row r="1243" spans="1:15">
      <c r="A1243" s="5" t="s">
        <v>15</v>
      </c>
      <c r="B1243" s="5" t="str">
        <f>"FES1162740926"</f>
        <v>FES1162740926</v>
      </c>
      <c r="C1243" s="5" t="s">
        <v>662</v>
      </c>
      <c r="D1243" s="5">
        <v>1</v>
      </c>
      <c r="E1243" s="5" t="str">
        <f>"2170732598"</f>
        <v>2170732598</v>
      </c>
      <c r="F1243" s="5" t="s">
        <v>17</v>
      </c>
      <c r="G1243" s="5" t="s">
        <v>18</v>
      </c>
      <c r="H1243" s="5" t="s">
        <v>100</v>
      </c>
      <c r="I1243" s="5" t="s">
        <v>101</v>
      </c>
      <c r="J1243" s="5" t="s">
        <v>137</v>
      </c>
      <c r="K1243" s="5" t="s">
        <v>1042</v>
      </c>
      <c r="L1243" s="6">
        <v>0.30486111111111108</v>
      </c>
      <c r="M1243" s="5" t="s">
        <v>1195</v>
      </c>
      <c r="N1243" s="5" t="s">
        <v>24</v>
      </c>
      <c r="O1243" s="5"/>
    </row>
    <row r="1244" spans="1:15">
      <c r="A1244" s="5" t="s">
        <v>15</v>
      </c>
      <c r="B1244" s="5" t="str">
        <f>"FES1162740936"</f>
        <v>FES1162740936</v>
      </c>
      <c r="C1244" s="5" t="s">
        <v>662</v>
      </c>
      <c r="D1244" s="5">
        <v>1</v>
      </c>
      <c r="E1244" s="5" t="str">
        <f>"217072610"</f>
        <v>217072610</v>
      </c>
      <c r="F1244" s="5" t="s">
        <v>17</v>
      </c>
      <c r="G1244" s="5" t="s">
        <v>18</v>
      </c>
      <c r="H1244" s="5" t="s">
        <v>36</v>
      </c>
      <c r="I1244" s="5" t="s">
        <v>37</v>
      </c>
      <c r="J1244" s="5" t="s">
        <v>1053</v>
      </c>
      <c r="K1244" s="5" t="s">
        <v>1228</v>
      </c>
      <c r="L1244" s="6">
        <v>0.30486111111111108</v>
      </c>
      <c r="M1244" s="5" t="s">
        <v>1054</v>
      </c>
      <c r="N1244" s="5" t="s">
        <v>24</v>
      </c>
      <c r="O1244" s="5"/>
    </row>
    <row r="1245" spans="1:15">
      <c r="A1245" s="5" t="s">
        <v>15</v>
      </c>
      <c r="B1245" s="5" t="str">
        <f>"FES1162740909"</f>
        <v>FES1162740909</v>
      </c>
      <c r="C1245" s="5" t="s">
        <v>662</v>
      </c>
      <c r="D1245" s="5">
        <v>1</v>
      </c>
      <c r="E1245" s="5" t="str">
        <f>"2170732569"</f>
        <v>2170732569</v>
      </c>
      <c r="F1245" s="5" t="s">
        <v>17</v>
      </c>
      <c r="G1245" s="5" t="s">
        <v>18</v>
      </c>
      <c r="H1245" s="5" t="s">
        <v>18</v>
      </c>
      <c r="I1245" s="5" t="s">
        <v>33</v>
      </c>
      <c r="J1245" s="5" t="s">
        <v>34</v>
      </c>
      <c r="K1245" s="5" t="s">
        <v>1042</v>
      </c>
      <c r="L1245" s="6">
        <v>0.40138888888888885</v>
      </c>
      <c r="M1245" s="5" t="s">
        <v>444</v>
      </c>
      <c r="N1245" s="5" t="s">
        <v>24</v>
      </c>
      <c r="O1245" s="5"/>
    </row>
    <row r="1246" spans="1:15">
      <c r="A1246" s="5" t="s">
        <v>15</v>
      </c>
      <c r="B1246" s="5" t="str">
        <f>"FES1162740940"</f>
        <v>FES1162740940</v>
      </c>
      <c r="C1246" s="5" t="s">
        <v>662</v>
      </c>
      <c r="D1246" s="5">
        <v>1</v>
      </c>
      <c r="E1246" s="5" t="str">
        <f>"2170732615"</f>
        <v>2170732615</v>
      </c>
      <c r="F1246" s="5" t="s">
        <v>17</v>
      </c>
      <c r="G1246" s="5" t="s">
        <v>18</v>
      </c>
      <c r="H1246" s="5" t="s">
        <v>36</v>
      </c>
      <c r="I1246" s="5" t="s">
        <v>330</v>
      </c>
      <c r="J1246" s="5" t="s">
        <v>331</v>
      </c>
      <c r="K1246" s="5" t="s">
        <v>1042</v>
      </c>
      <c r="L1246" s="6">
        <v>0.41319444444444442</v>
      </c>
      <c r="M1246" s="5" t="s">
        <v>332</v>
      </c>
      <c r="N1246" s="5" t="s">
        <v>24</v>
      </c>
      <c r="O1246" s="5"/>
    </row>
    <row r="1247" spans="1:15">
      <c r="A1247" s="5" t="s">
        <v>15</v>
      </c>
      <c r="B1247" s="5" t="str">
        <f>"FES1162740941"</f>
        <v>FES1162740941</v>
      </c>
      <c r="C1247" s="5" t="s">
        <v>662</v>
      </c>
      <c r="D1247" s="5">
        <v>1</v>
      </c>
      <c r="E1247" s="5" t="str">
        <f>"2170732620"</f>
        <v>2170732620</v>
      </c>
      <c r="F1247" s="5" t="s">
        <v>17</v>
      </c>
      <c r="G1247" s="5" t="s">
        <v>18</v>
      </c>
      <c r="H1247" s="5" t="s">
        <v>66</v>
      </c>
      <c r="I1247" s="5" t="s">
        <v>67</v>
      </c>
      <c r="J1247" s="5" t="s">
        <v>287</v>
      </c>
      <c r="K1247" s="5" t="s">
        <v>1042</v>
      </c>
      <c r="L1247" s="6">
        <v>0.3659722222222222</v>
      </c>
      <c r="M1247" s="5" t="s">
        <v>288</v>
      </c>
      <c r="N1247" s="5" t="s">
        <v>24</v>
      </c>
      <c r="O1247" s="5"/>
    </row>
    <row r="1248" spans="1:15">
      <c r="A1248" s="5" t="s">
        <v>15</v>
      </c>
      <c r="B1248" s="5" t="str">
        <f>"FES1162740925"</f>
        <v>FES1162740925</v>
      </c>
      <c r="C1248" s="5" t="s">
        <v>662</v>
      </c>
      <c r="D1248" s="5">
        <v>1</v>
      </c>
      <c r="E1248" s="5" t="str">
        <f>"2170732597"</f>
        <v>2170732597</v>
      </c>
      <c r="F1248" s="5" t="s">
        <v>17</v>
      </c>
      <c r="G1248" s="5" t="s">
        <v>18</v>
      </c>
      <c r="H1248" s="5" t="s">
        <v>19</v>
      </c>
      <c r="I1248" s="5" t="s">
        <v>51</v>
      </c>
      <c r="J1248" s="5" t="s">
        <v>1251</v>
      </c>
      <c r="K1248" s="5" t="s">
        <v>1042</v>
      </c>
      <c r="L1248" s="6">
        <v>0.40069444444444446</v>
      </c>
      <c r="M1248" s="5" t="s">
        <v>1252</v>
      </c>
      <c r="N1248" s="5" t="s">
        <v>24</v>
      </c>
      <c r="O1248" s="5"/>
    </row>
    <row r="1249" spans="1:15">
      <c r="A1249" s="3" t="s">
        <v>15</v>
      </c>
      <c r="B1249" s="3" t="str">
        <f>"FES1162740932"</f>
        <v>FES1162740932</v>
      </c>
      <c r="C1249" s="3" t="s">
        <v>662</v>
      </c>
      <c r="D1249" s="3">
        <v>1</v>
      </c>
      <c r="E1249" s="3" t="str">
        <f>"2170732620"</f>
        <v>2170732620</v>
      </c>
      <c r="F1249" s="3" t="s">
        <v>17</v>
      </c>
      <c r="G1249" s="3" t="s">
        <v>18</v>
      </c>
      <c r="H1249" s="3" t="s">
        <v>46</v>
      </c>
      <c r="I1249" s="3" t="s">
        <v>47</v>
      </c>
      <c r="J1249" s="3" t="s">
        <v>48</v>
      </c>
      <c r="K1249" s="3" t="s">
        <v>1042</v>
      </c>
      <c r="L1249" s="4">
        <v>0.43402777777777773</v>
      </c>
      <c r="M1249" s="3" t="s">
        <v>1025</v>
      </c>
      <c r="N1249" s="3" t="s">
        <v>24</v>
      </c>
      <c r="O1249" s="3"/>
    </row>
    <row r="1250" spans="1:15">
      <c r="A1250" s="3" t="s">
        <v>15</v>
      </c>
      <c r="B1250" s="3" t="str">
        <f>"FES1162740933"</f>
        <v>FES1162740933</v>
      </c>
      <c r="C1250" s="3" t="s">
        <v>662</v>
      </c>
      <c r="D1250" s="3">
        <v>1</v>
      </c>
      <c r="E1250" s="3" t="str">
        <f>"2170732606"</f>
        <v>2170732606</v>
      </c>
      <c r="F1250" s="3" t="s">
        <v>528</v>
      </c>
      <c r="G1250" s="3" t="s">
        <v>948</v>
      </c>
      <c r="H1250" s="3" t="s">
        <v>36</v>
      </c>
      <c r="I1250" s="3" t="s">
        <v>330</v>
      </c>
      <c r="J1250" s="3" t="s">
        <v>331</v>
      </c>
      <c r="K1250" s="3" t="s">
        <v>1190</v>
      </c>
      <c r="L1250" s="4">
        <v>0.41319444444444442</v>
      </c>
      <c r="M1250" s="3" t="s">
        <v>332</v>
      </c>
      <c r="N1250" s="3" t="s">
        <v>24</v>
      </c>
      <c r="O1250" s="3"/>
    </row>
    <row r="1251" spans="1:15">
      <c r="A1251" s="3" t="s">
        <v>15</v>
      </c>
      <c r="B1251" s="3" t="str">
        <f>"FES1162740939"</f>
        <v>FES1162740939</v>
      </c>
      <c r="C1251" s="3" t="s">
        <v>662</v>
      </c>
      <c r="D1251" s="3">
        <v>1</v>
      </c>
      <c r="E1251" s="3" t="str">
        <f>"2170732613"</f>
        <v>2170732613</v>
      </c>
      <c r="F1251" s="3" t="s">
        <v>17</v>
      </c>
      <c r="G1251" s="3" t="s">
        <v>18</v>
      </c>
      <c r="H1251" s="3" t="s">
        <v>18</v>
      </c>
      <c r="I1251" s="3" t="s">
        <v>29</v>
      </c>
      <c r="J1251" s="3" t="s">
        <v>307</v>
      </c>
      <c r="K1251" s="3" t="s">
        <v>1042</v>
      </c>
      <c r="L1251" s="4">
        <v>0.39027777777777778</v>
      </c>
      <c r="M1251" s="3" t="s">
        <v>308</v>
      </c>
      <c r="N1251" s="3" t="s">
        <v>24</v>
      </c>
      <c r="O1251" s="3"/>
    </row>
    <row r="1252" spans="1:15">
      <c r="A1252" s="3" t="s">
        <v>15</v>
      </c>
      <c r="B1252" s="3" t="str">
        <f>"FES1162740943"</f>
        <v>FES1162740943</v>
      </c>
      <c r="C1252" s="3" t="s">
        <v>662</v>
      </c>
      <c r="D1252" s="3">
        <v>1</v>
      </c>
      <c r="E1252" s="3" t="str">
        <f>"2170732622"</f>
        <v>2170732622</v>
      </c>
      <c r="F1252" s="3" t="s">
        <v>17</v>
      </c>
      <c r="G1252" s="3" t="s">
        <v>18</v>
      </c>
      <c r="H1252" s="3" t="s">
        <v>19</v>
      </c>
      <c r="I1252" s="3" t="s">
        <v>20</v>
      </c>
      <c r="J1252" s="3" t="s">
        <v>1141</v>
      </c>
      <c r="K1252" s="3" t="s">
        <v>1042</v>
      </c>
      <c r="L1252" s="4">
        <v>0.32777777777777778</v>
      </c>
      <c r="M1252" s="3" t="s">
        <v>1253</v>
      </c>
      <c r="N1252" s="3" t="s">
        <v>24</v>
      </c>
      <c r="O1252" s="3"/>
    </row>
    <row r="1253" spans="1:15">
      <c r="A1253" s="3" t="s">
        <v>15</v>
      </c>
      <c r="B1253" s="3" t="str">
        <f>"FES1162740921"</f>
        <v>FES1162740921</v>
      </c>
      <c r="C1253" s="3" t="s">
        <v>662</v>
      </c>
      <c r="D1253" s="3">
        <v>1</v>
      </c>
      <c r="E1253" s="3" t="str">
        <f>"2170732586"</f>
        <v>2170732586</v>
      </c>
      <c r="F1253" s="3" t="s">
        <v>17</v>
      </c>
      <c r="G1253" s="3" t="s">
        <v>18</v>
      </c>
      <c r="H1253" s="3" t="s">
        <v>36</v>
      </c>
      <c r="I1253" s="3" t="s">
        <v>37</v>
      </c>
      <c r="J1253" s="3" t="s">
        <v>54</v>
      </c>
      <c r="K1253" s="3" t="s">
        <v>1042</v>
      </c>
      <c r="L1253" s="4">
        <v>0.40277777777777773</v>
      </c>
      <c r="M1253" s="3" t="s">
        <v>55</v>
      </c>
      <c r="N1253" s="3" t="s">
        <v>24</v>
      </c>
      <c r="O1253" s="3"/>
    </row>
    <row r="1254" spans="1:15">
      <c r="A1254" s="3" t="s">
        <v>15</v>
      </c>
      <c r="B1254" s="3" t="str">
        <f>"FES1162740931"</f>
        <v>FES1162740931</v>
      </c>
      <c r="C1254" s="3" t="s">
        <v>662</v>
      </c>
      <c r="D1254" s="3">
        <v>1</v>
      </c>
      <c r="E1254" s="3" t="str">
        <f>"2170732604"</f>
        <v>2170732604</v>
      </c>
      <c r="F1254" s="3" t="s">
        <v>17</v>
      </c>
      <c r="G1254" s="3" t="s">
        <v>18</v>
      </c>
      <c r="H1254" s="3" t="s">
        <v>19</v>
      </c>
      <c r="I1254" s="3" t="s">
        <v>20</v>
      </c>
      <c r="J1254" s="3" t="s">
        <v>56</v>
      </c>
      <c r="K1254" s="3" t="s">
        <v>1042</v>
      </c>
      <c r="L1254" s="4">
        <v>0.35555555555555557</v>
      </c>
      <c r="M1254" s="3" t="s">
        <v>259</v>
      </c>
      <c r="N1254" s="3" t="s">
        <v>24</v>
      </c>
      <c r="O1254" s="3"/>
    </row>
    <row r="1255" spans="1:15">
      <c r="A1255" s="3" t="s">
        <v>15</v>
      </c>
      <c r="B1255" s="3" t="str">
        <f>"FES1162740913"</f>
        <v>FES1162740913</v>
      </c>
      <c r="C1255" s="3" t="s">
        <v>662</v>
      </c>
      <c r="D1255" s="3">
        <v>1</v>
      </c>
      <c r="E1255" s="3" t="str">
        <f>"2170732575"</f>
        <v>2170732575</v>
      </c>
      <c r="F1255" s="3" t="s">
        <v>17</v>
      </c>
      <c r="G1255" s="3" t="s">
        <v>18</v>
      </c>
      <c r="H1255" s="3" t="s">
        <v>18</v>
      </c>
      <c r="I1255" s="3" t="s">
        <v>29</v>
      </c>
      <c r="J1255" s="3" t="s">
        <v>980</v>
      </c>
      <c r="K1255" s="3" t="s">
        <v>1042</v>
      </c>
      <c r="L1255" s="4">
        <v>0.33333333333333331</v>
      </c>
      <c r="M1255" s="3" t="s">
        <v>1254</v>
      </c>
      <c r="N1255" s="3" t="s">
        <v>24</v>
      </c>
      <c r="O1255" s="3"/>
    </row>
    <row r="1256" spans="1:15">
      <c r="A1256" s="3" t="s">
        <v>15</v>
      </c>
      <c r="B1256" s="3" t="str">
        <f>"FES1162740949"</f>
        <v>FES1162740949</v>
      </c>
      <c r="C1256" s="3" t="s">
        <v>662</v>
      </c>
      <c r="D1256" s="3">
        <v>1</v>
      </c>
      <c r="E1256" s="3" t="str">
        <f>"21707322628"</f>
        <v>21707322628</v>
      </c>
      <c r="F1256" s="3" t="s">
        <v>17</v>
      </c>
      <c r="G1256" s="3" t="s">
        <v>18</v>
      </c>
      <c r="H1256" s="3" t="s">
        <v>19</v>
      </c>
      <c r="I1256" s="3" t="s">
        <v>51</v>
      </c>
      <c r="J1256" s="3" t="s">
        <v>1255</v>
      </c>
      <c r="K1256" s="3" t="s">
        <v>1042</v>
      </c>
      <c r="L1256" s="4">
        <v>0.38194444444444442</v>
      </c>
      <c r="M1256" s="3" t="s">
        <v>1256</v>
      </c>
      <c r="N1256" s="3" t="s">
        <v>24</v>
      </c>
      <c r="O1256" s="3"/>
    </row>
    <row r="1257" spans="1:15">
      <c r="A1257" s="3" t="s">
        <v>15</v>
      </c>
      <c r="B1257" s="3" t="str">
        <f>"FES1162740934"</f>
        <v>FES1162740934</v>
      </c>
      <c r="C1257" s="3" t="s">
        <v>662</v>
      </c>
      <c r="D1257" s="3">
        <v>1</v>
      </c>
      <c r="E1257" s="3" t="str">
        <f>"2170732607"</f>
        <v>2170732607</v>
      </c>
      <c r="F1257" s="3" t="s">
        <v>17</v>
      </c>
      <c r="G1257" s="3" t="s">
        <v>18</v>
      </c>
      <c r="H1257" s="3" t="s">
        <v>19</v>
      </c>
      <c r="I1257" s="3" t="s">
        <v>20</v>
      </c>
      <c r="J1257" s="3" t="s">
        <v>280</v>
      </c>
      <c r="K1257" s="3" t="s">
        <v>1042</v>
      </c>
      <c r="L1257" s="4">
        <v>0.34097222222222223</v>
      </c>
      <c r="M1257" s="3" t="s">
        <v>268</v>
      </c>
      <c r="N1257" s="3" t="s">
        <v>24</v>
      </c>
      <c r="O1257" s="3"/>
    </row>
    <row r="1258" spans="1:15">
      <c r="A1258" s="3" t="s">
        <v>15</v>
      </c>
      <c r="B1258" s="3" t="str">
        <f>"FES1162740927"</f>
        <v>FES1162740927</v>
      </c>
      <c r="C1258" s="3" t="s">
        <v>662</v>
      </c>
      <c r="D1258" s="3">
        <v>1</v>
      </c>
      <c r="E1258" s="3" t="str">
        <f>"2170723599"</f>
        <v>2170723599</v>
      </c>
      <c r="F1258" s="3" t="s">
        <v>17</v>
      </c>
      <c r="G1258" s="3" t="s">
        <v>18</v>
      </c>
      <c r="H1258" s="3" t="s">
        <v>19</v>
      </c>
      <c r="I1258" s="3" t="s">
        <v>51</v>
      </c>
      <c r="J1258" s="3" t="s">
        <v>429</v>
      </c>
      <c r="K1258" s="3" t="s">
        <v>1042</v>
      </c>
      <c r="L1258" s="4">
        <v>0.37361111111111112</v>
      </c>
      <c r="M1258" s="3" t="s">
        <v>982</v>
      </c>
      <c r="N1258" s="3" t="s">
        <v>24</v>
      </c>
      <c r="O1258" s="3"/>
    </row>
    <row r="1259" spans="1:15">
      <c r="A1259" s="3" t="s">
        <v>15</v>
      </c>
      <c r="B1259" s="3" t="str">
        <f>"FES1162740951"</f>
        <v>FES1162740951</v>
      </c>
      <c r="C1259" s="3" t="s">
        <v>662</v>
      </c>
      <c r="D1259" s="3">
        <v>1</v>
      </c>
      <c r="E1259" s="3" t="str">
        <f>"2170732633"</f>
        <v>2170732633</v>
      </c>
      <c r="F1259" s="3" t="s">
        <v>17</v>
      </c>
      <c r="G1259" s="3" t="s">
        <v>18</v>
      </c>
      <c r="H1259" s="3" t="s">
        <v>19</v>
      </c>
      <c r="I1259" s="3" t="s">
        <v>236</v>
      </c>
      <c r="J1259" s="3" t="s">
        <v>257</v>
      </c>
      <c r="K1259" s="3" t="s">
        <v>1042</v>
      </c>
      <c r="L1259" s="4">
        <v>0.34722222222222227</v>
      </c>
      <c r="M1259" s="3" t="s">
        <v>1240</v>
      </c>
      <c r="N1259" s="3" t="s">
        <v>24</v>
      </c>
      <c r="O1259" s="3"/>
    </row>
    <row r="1260" spans="1:15">
      <c r="A1260" s="3" t="s">
        <v>15</v>
      </c>
      <c r="B1260" s="3" t="str">
        <f>"FES1162740935"</f>
        <v>FES1162740935</v>
      </c>
      <c r="C1260" s="3" t="s">
        <v>662</v>
      </c>
      <c r="D1260" s="3">
        <v>1</v>
      </c>
      <c r="E1260" s="3" t="str">
        <f>"2170732609"</f>
        <v>2170732609</v>
      </c>
      <c r="F1260" s="3" t="s">
        <v>17</v>
      </c>
      <c r="G1260" s="3" t="s">
        <v>18</v>
      </c>
      <c r="H1260" s="3" t="s">
        <v>849</v>
      </c>
      <c r="I1260" s="3" t="s">
        <v>1257</v>
      </c>
      <c r="J1260" s="3" t="s">
        <v>446</v>
      </c>
      <c r="K1260" s="3" t="s">
        <v>1190</v>
      </c>
      <c r="L1260" s="4">
        <v>0.59444444444444444</v>
      </c>
      <c r="M1260" s="3" t="s">
        <v>182</v>
      </c>
      <c r="N1260" s="3" t="s">
        <v>24</v>
      </c>
      <c r="O1260" s="3"/>
    </row>
    <row r="1261" spans="1:15">
      <c r="A1261" s="3" t="s">
        <v>15</v>
      </c>
      <c r="B1261" s="3" t="str">
        <f>"FES1162740945"</f>
        <v>FES1162740945</v>
      </c>
      <c r="C1261" s="3" t="s">
        <v>662</v>
      </c>
      <c r="D1261" s="3">
        <v>2</v>
      </c>
      <c r="E1261" s="3" t="str">
        <f>"2170732624"</f>
        <v>2170732624</v>
      </c>
      <c r="F1261" s="3" t="s">
        <v>17</v>
      </c>
      <c r="G1261" s="3" t="s">
        <v>18</v>
      </c>
      <c r="H1261" s="3" t="s">
        <v>36</v>
      </c>
      <c r="I1261" s="3" t="s">
        <v>37</v>
      </c>
      <c r="J1261" s="3" t="s">
        <v>260</v>
      </c>
      <c r="K1261" s="3" t="s">
        <v>1042</v>
      </c>
      <c r="L1261" s="4">
        <v>0.4375</v>
      </c>
      <c r="M1261" s="3" t="s">
        <v>1258</v>
      </c>
      <c r="N1261" s="3" t="s">
        <v>24</v>
      </c>
      <c r="O1261" s="3"/>
    </row>
    <row r="1262" spans="1:15">
      <c r="A1262" s="3" t="s">
        <v>15</v>
      </c>
      <c r="B1262" s="3" t="str">
        <f>"FES1162740944"</f>
        <v>FES1162740944</v>
      </c>
      <c r="C1262" s="3" t="s">
        <v>662</v>
      </c>
      <c r="D1262" s="3">
        <v>1</v>
      </c>
      <c r="E1262" s="3" t="str">
        <f>"217072632"</f>
        <v>217072632</v>
      </c>
      <c r="F1262" s="3" t="s">
        <v>17</v>
      </c>
      <c r="G1262" s="3" t="s">
        <v>18</v>
      </c>
      <c r="H1262" s="3" t="s">
        <v>36</v>
      </c>
      <c r="I1262" s="3" t="s">
        <v>37</v>
      </c>
      <c r="J1262" s="3" t="s">
        <v>260</v>
      </c>
      <c r="K1262" s="3" t="s">
        <v>1042</v>
      </c>
      <c r="L1262" s="4">
        <v>0.43402777777777773</v>
      </c>
      <c r="M1262" s="3" t="s">
        <v>1258</v>
      </c>
      <c r="N1262" s="3" t="s">
        <v>24</v>
      </c>
      <c r="O1262" s="3"/>
    </row>
    <row r="1263" spans="1:15">
      <c r="A1263" s="3" t="s">
        <v>15</v>
      </c>
      <c r="B1263" s="3" t="str">
        <f>"FES1162740947"</f>
        <v>FES1162740947</v>
      </c>
      <c r="C1263" s="3" t="s">
        <v>662</v>
      </c>
      <c r="D1263" s="3">
        <v>1</v>
      </c>
      <c r="E1263" s="3" t="str">
        <f>"2170732625"</f>
        <v>2170732625</v>
      </c>
      <c r="F1263" s="3" t="s">
        <v>17</v>
      </c>
      <c r="G1263" s="3" t="s">
        <v>18</v>
      </c>
      <c r="H1263" s="3" t="s">
        <v>18</v>
      </c>
      <c r="I1263" s="3" t="s">
        <v>313</v>
      </c>
      <c r="J1263" s="3" t="s">
        <v>694</v>
      </c>
      <c r="K1263" s="3" t="s">
        <v>1042</v>
      </c>
      <c r="L1263" s="4">
        <v>0.40833333333333338</v>
      </c>
      <c r="M1263" s="3" t="s">
        <v>695</v>
      </c>
      <c r="N1263" s="3" t="s">
        <v>24</v>
      </c>
      <c r="O1263" s="3"/>
    </row>
    <row r="1264" spans="1:15">
      <c r="A1264" s="3" t="s">
        <v>15</v>
      </c>
      <c r="B1264" s="3" t="str">
        <f>"FES1162740959"</f>
        <v>FES1162740959</v>
      </c>
      <c r="C1264" s="3" t="s">
        <v>662</v>
      </c>
      <c r="D1264" s="3">
        <v>1</v>
      </c>
      <c r="E1264" s="3" t="str">
        <f>"2170732642"</f>
        <v>2170732642</v>
      </c>
      <c r="F1264" s="3" t="s">
        <v>17</v>
      </c>
      <c r="G1264" s="3" t="s">
        <v>18</v>
      </c>
      <c r="H1264" s="3" t="s">
        <v>18</v>
      </c>
      <c r="I1264" s="3" t="s">
        <v>33</v>
      </c>
      <c r="J1264" s="3" t="s">
        <v>1028</v>
      </c>
      <c r="K1264" s="3" t="s">
        <v>1042</v>
      </c>
      <c r="L1264" s="4">
        <v>0.3576388888888889</v>
      </c>
      <c r="M1264" s="3" t="s">
        <v>1128</v>
      </c>
      <c r="N1264" s="3" t="s">
        <v>24</v>
      </c>
      <c r="O1264" s="3"/>
    </row>
    <row r="1265" spans="1:15">
      <c r="A1265" s="3" t="s">
        <v>15</v>
      </c>
      <c r="B1265" s="3" t="str">
        <f>"FES1162740955"</f>
        <v>FES1162740955</v>
      </c>
      <c r="C1265" s="3" t="s">
        <v>662</v>
      </c>
      <c r="D1265" s="3">
        <v>1</v>
      </c>
      <c r="E1265" s="3" t="str">
        <f>"2170732637"</f>
        <v>2170732637</v>
      </c>
      <c r="F1265" s="3" t="s">
        <v>17</v>
      </c>
      <c r="G1265" s="3" t="s">
        <v>18</v>
      </c>
      <c r="H1265" s="3" t="s">
        <v>36</v>
      </c>
      <c r="I1265" s="3" t="s">
        <v>37</v>
      </c>
      <c r="J1265" s="3" t="s">
        <v>38</v>
      </c>
      <c r="K1265" s="3" t="s">
        <v>1042</v>
      </c>
      <c r="L1265" s="4">
        <v>0.3756944444444445</v>
      </c>
      <c r="M1265" s="3" t="s">
        <v>1081</v>
      </c>
      <c r="N1265" s="3" t="s">
        <v>24</v>
      </c>
      <c r="O1265" s="3"/>
    </row>
    <row r="1266" spans="1:15">
      <c r="A1266" s="3" t="s">
        <v>15</v>
      </c>
      <c r="B1266" s="3" t="str">
        <f>"009935712354"</f>
        <v>009935712354</v>
      </c>
      <c r="C1266" s="3" t="s">
        <v>662</v>
      </c>
      <c r="D1266" s="3">
        <v>1</v>
      </c>
      <c r="E1266" s="3" t="str">
        <f>"EINOS"</f>
        <v>EINOS</v>
      </c>
      <c r="F1266" s="3" t="s">
        <v>17</v>
      </c>
      <c r="G1266" s="3" t="s">
        <v>18</v>
      </c>
      <c r="H1266" s="3" t="s">
        <v>19</v>
      </c>
      <c r="I1266" s="3" t="s">
        <v>20</v>
      </c>
      <c r="J1266" s="3" t="s">
        <v>1259</v>
      </c>
      <c r="K1266" s="3" t="s">
        <v>1042</v>
      </c>
      <c r="L1266" s="4">
        <v>0.31527777777777777</v>
      </c>
      <c r="M1266" s="3" t="s">
        <v>1260</v>
      </c>
      <c r="N1266" s="3" t="s">
        <v>24</v>
      </c>
      <c r="O1266" s="3"/>
    </row>
    <row r="1267" spans="1:15">
      <c r="A1267" s="3" t="s">
        <v>15</v>
      </c>
      <c r="B1267" s="3" t="str">
        <f>"FES1162740964"</f>
        <v>FES1162740964</v>
      </c>
      <c r="C1267" s="3" t="s">
        <v>662</v>
      </c>
      <c r="D1267" s="3">
        <v>1</v>
      </c>
      <c r="E1267" s="3" t="str">
        <f>"2170732647"</f>
        <v>2170732647</v>
      </c>
      <c r="F1267" s="3" t="s">
        <v>17</v>
      </c>
      <c r="G1267" s="3" t="s">
        <v>18</v>
      </c>
      <c r="H1267" s="3" t="s">
        <v>18</v>
      </c>
      <c r="I1267" s="3" t="s">
        <v>29</v>
      </c>
      <c r="J1267" s="3" t="s">
        <v>493</v>
      </c>
      <c r="K1267" s="3" t="s">
        <v>1042</v>
      </c>
      <c r="L1267" s="4">
        <v>0.29166666666666669</v>
      </c>
      <c r="M1267" s="3" t="s">
        <v>494</v>
      </c>
      <c r="N1267" s="3" t="s">
        <v>24</v>
      </c>
      <c r="O1267" s="3"/>
    </row>
    <row r="1268" spans="1:15">
      <c r="A1268" s="3" t="s">
        <v>15</v>
      </c>
      <c r="B1268" s="3" t="str">
        <f>"FES1162740968"</f>
        <v>FES1162740968</v>
      </c>
      <c r="C1268" s="3" t="s">
        <v>662</v>
      </c>
      <c r="D1268" s="3">
        <v>1</v>
      </c>
      <c r="E1268" s="3" t="str">
        <f>"2170732655"</f>
        <v>2170732655</v>
      </c>
      <c r="F1268" s="3" t="s">
        <v>17</v>
      </c>
      <c r="G1268" s="3" t="s">
        <v>18</v>
      </c>
      <c r="H1268" s="3" t="s">
        <v>66</v>
      </c>
      <c r="I1268" s="3" t="s">
        <v>67</v>
      </c>
      <c r="J1268" s="3" t="s">
        <v>543</v>
      </c>
      <c r="K1268" s="3" t="s">
        <v>1042</v>
      </c>
      <c r="L1268" s="4">
        <v>0.41319444444444442</v>
      </c>
      <c r="M1268" s="3" t="s">
        <v>1230</v>
      </c>
      <c r="N1268" s="3" t="s">
        <v>24</v>
      </c>
      <c r="O1268" s="3"/>
    </row>
    <row r="1269" spans="1:15">
      <c r="A1269" s="3" t="s">
        <v>15</v>
      </c>
      <c r="B1269" s="3" t="str">
        <f>"FES1162740970"</f>
        <v>FES1162740970</v>
      </c>
      <c r="C1269" s="3" t="s">
        <v>662</v>
      </c>
      <c r="D1269" s="3">
        <v>1</v>
      </c>
      <c r="E1269" s="3" t="str">
        <f>"2170732658"</f>
        <v>2170732658</v>
      </c>
      <c r="F1269" s="3" t="s">
        <v>17</v>
      </c>
      <c r="G1269" s="3" t="s">
        <v>18</v>
      </c>
      <c r="H1269" s="3" t="s">
        <v>46</v>
      </c>
      <c r="I1269" s="3" t="s">
        <v>47</v>
      </c>
      <c r="J1269" s="3" t="s">
        <v>48</v>
      </c>
      <c r="K1269" s="3" t="s">
        <v>1042</v>
      </c>
      <c r="L1269" s="4">
        <v>0.43402777777777773</v>
      </c>
      <c r="M1269" s="3" t="s">
        <v>1025</v>
      </c>
      <c r="N1269" s="3" t="s">
        <v>24</v>
      </c>
      <c r="O1269" s="3"/>
    </row>
    <row r="1270" spans="1:15">
      <c r="A1270" s="3" t="s">
        <v>15</v>
      </c>
      <c r="B1270" s="3" t="str">
        <f>"FES1162740889"</f>
        <v>FES1162740889</v>
      </c>
      <c r="C1270" s="3" t="s">
        <v>662</v>
      </c>
      <c r="D1270" s="3">
        <v>1</v>
      </c>
      <c r="E1270" s="3" t="str">
        <f>"2170732551"</f>
        <v>2170732551</v>
      </c>
      <c r="F1270" s="3" t="s">
        <v>17</v>
      </c>
      <c r="G1270" s="3" t="s">
        <v>18</v>
      </c>
      <c r="H1270" s="3" t="s">
        <v>18</v>
      </c>
      <c r="I1270" s="3" t="s">
        <v>171</v>
      </c>
      <c r="J1270" s="3" t="s">
        <v>197</v>
      </c>
      <c r="K1270" s="3" t="s">
        <v>1042</v>
      </c>
      <c r="L1270" s="4">
        <v>0.33680555555555558</v>
      </c>
      <c r="M1270" s="3" t="s">
        <v>1261</v>
      </c>
      <c r="N1270" s="3" t="s">
        <v>24</v>
      </c>
      <c r="O1270" s="3"/>
    </row>
    <row r="1271" spans="1:15">
      <c r="A1271" s="3" t="s">
        <v>15</v>
      </c>
      <c r="B1271" s="3" t="str">
        <f>"FES1162740893"</f>
        <v>FES1162740893</v>
      </c>
      <c r="C1271" s="3" t="s">
        <v>662</v>
      </c>
      <c r="D1271" s="3">
        <v>1</v>
      </c>
      <c r="E1271" s="3" t="str">
        <f>"2170732518"</f>
        <v>2170732518</v>
      </c>
      <c r="F1271" s="3" t="s">
        <v>17</v>
      </c>
      <c r="G1271" s="3" t="s">
        <v>18</v>
      </c>
      <c r="H1271" s="3" t="s">
        <v>18</v>
      </c>
      <c r="I1271" s="3" t="s">
        <v>171</v>
      </c>
      <c r="J1271" s="3" t="s">
        <v>1262</v>
      </c>
      <c r="K1271" s="3" t="s">
        <v>1042</v>
      </c>
      <c r="L1271" s="4">
        <v>0.3659722222222222</v>
      </c>
      <c r="M1271" s="3" t="s">
        <v>1263</v>
      </c>
      <c r="N1271" s="3" t="s">
        <v>24</v>
      </c>
      <c r="O1271" s="3"/>
    </row>
    <row r="1272" spans="1:15">
      <c r="A1272" s="3" t="s">
        <v>15</v>
      </c>
      <c r="B1272" s="3" t="str">
        <f>"FES1162740581"</f>
        <v>FES1162740581</v>
      </c>
      <c r="C1272" s="3" t="s">
        <v>662</v>
      </c>
      <c r="D1272" s="3">
        <v>1</v>
      </c>
      <c r="E1272" s="3" t="str">
        <f>"2170732207"</f>
        <v>2170732207</v>
      </c>
      <c r="F1272" s="3" t="s">
        <v>17</v>
      </c>
      <c r="G1272" s="3" t="s">
        <v>18</v>
      </c>
      <c r="H1272" s="3" t="s">
        <v>100</v>
      </c>
      <c r="I1272" s="3" t="s">
        <v>101</v>
      </c>
      <c r="J1272" s="3" t="s">
        <v>265</v>
      </c>
      <c r="K1272" s="3" t="s">
        <v>1042</v>
      </c>
      <c r="L1272" s="4">
        <v>0.35347222222222219</v>
      </c>
      <c r="M1272" s="3" t="s">
        <v>1216</v>
      </c>
      <c r="N1272" s="3" t="s">
        <v>24</v>
      </c>
      <c r="O1272" s="3"/>
    </row>
    <row r="1273" spans="1:15">
      <c r="A1273" s="3" t="s">
        <v>15</v>
      </c>
      <c r="B1273" s="3" t="str">
        <f>"FES1162740954"</f>
        <v>FES1162740954</v>
      </c>
      <c r="C1273" s="3" t="s">
        <v>662</v>
      </c>
      <c r="D1273" s="3">
        <v>1</v>
      </c>
      <c r="E1273" s="3" t="str">
        <f>"2170732632"</f>
        <v>2170732632</v>
      </c>
      <c r="F1273" s="3" t="s">
        <v>17</v>
      </c>
      <c r="G1273" s="3" t="s">
        <v>18</v>
      </c>
      <c r="H1273" s="3" t="s">
        <v>19</v>
      </c>
      <c r="I1273" s="3" t="s">
        <v>20</v>
      </c>
      <c r="J1273" s="3" t="s">
        <v>56</v>
      </c>
      <c r="K1273" s="3" t="s">
        <v>1042</v>
      </c>
      <c r="L1273" s="4">
        <v>0.35555555555555557</v>
      </c>
      <c r="M1273" s="3" t="s">
        <v>259</v>
      </c>
      <c r="N1273" s="3" t="s">
        <v>24</v>
      </c>
      <c r="O1273" s="3"/>
    </row>
    <row r="1274" spans="1:15">
      <c r="A1274" s="3" t="s">
        <v>15</v>
      </c>
      <c r="B1274" s="3" t="str">
        <f>"FES1162740957"</f>
        <v>FES1162740957</v>
      </c>
      <c r="C1274" s="3" t="s">
        <v>662</v>
      </c>
      <c r="D1274" s="3">
        <v>1</v>
      </c>
      <c r="E1274" s="3" t="str">
        <f>"217072639"</f>
        <v>217072639</v>
      </c>
      <c r="F1274" s="3" t="s">
        <v>17</v>
      </c>
      <c r="G1274" s="3" t="s">
        <v>18</v>
      </c>
      <c r="H1274" s="3" t="s">
        <v>100</v>
      </c>
      <c r="I1274" s="3" t="s">
        <v>101</v>
      </c>
      <c r="J1274" s="3" t="s">
        <v>1264</v>
      </c>
      <c r="K1274" s="3" t="s">
        <v>1042</v>
      </c>
      <c r="L1274" s="4">
        <v>0.3034722222222222</v>
      </c>
      <c r="M1274" s="3" t="s">
        <v>1265</v>
      </c>
      <c r="N1274" s="3" t="s">
        <v>24</v>
      </c>
      <c r="O1274" s="3"/>
    </row>
    <row r="1275" spans="1:15">
      <c r="A1275" s="3" t="s">
        <v>15</v>
      </c>
      <c r="B1275" s="3" t="str">
        <f>"FES1162740963"</f>
        <v>FES1162740963</v>
      </c>
      <c r="C1275" s="3" t="s">
        <v>662</v>
      </c>
      <c r="D1275" s="3">
        <v>1</v>
      </c>
      <c r="E1275" s="3" t="str">
        <f>"2170732646"</f>
        <v>2170732646</v>
      </c>
      <c r="F1275" s="3" t="s">
        <v>17</v>
      </c>
      <c r="G1275" s="3" t="s">
        <v>18</v>
      </c>
      <c r="H1275" s="3" t="s">
        <v>100</v>
      </c>
      <c r="I1275" s="3" t="s">
        <v>262</v>
      </c>
      <c r="J1275" s="3" t="s">
        <v>1113</v>
      </c>
      <c r="K1275" s="3" t="s">
        <v>1190</v>
      </c>
      <c r="L1275" s="4">
        <v>0.4291666666666667</v>
      </c>
      <c r="M1275" s="3" t="s">
        <v>1114</v>
      </c>
      <c r="N1275" s="3" t="s">
        <v>24</v>
      </c>
      <c r="O1275" s="3"/>
    </row>
    <row r="1276" spans="1:15">
      <c r="A1276" s="3" t="s">
        <v>15</v>
      </c>
      <c r="B1276" s="3" t="str">
        <f>"FES1162740938"</f>
        <v>FES1162740938</v>
      </c>
      <c r="C1276" s="3" t="s">
        <v>662</v>
      </c>
      <c r="D1276" s="3">
        <v>1</v>
      </c>
      <c r="E1276" s="3" t="str">
        <f>"2170732612"</f>
        <v>2170732612</v>
      </c>
      <c r="F1276" s="3" t="s">
        <v>17</v>
      </c>
      <c r="G1276" s="3" t="s">
        <v>18</v>
      </c>
      <c r="H1276" s="3" t="s">
        <v>18</v>
      </c>
      <c r="I1276" s="3" t="s">
        <v>151</v>
      </c>
      <c r="J1276" s="3" t="s">
        <v>1266</v>
      </c>
      <c r="K1276" s="3" t="s">
        <v>1042</v>
      </c>
      <c r="L1276" s="4">
        <v>0.33749999999999997</v>
      </c>
      <c r="M1276" s="3" t="s">
        <v>1267</v>
      </c>
      <c r="N1276" s="3" t="s">
        <v>24</v>
      </c>
      <c r="O1276" s="3"/>
    </row>
    <row r="1277" spans="1:15">
      <c r="A1277" s="3" t="s">
        <v>15</v>
      </c>
      <c r="B1277" s="3" t="str">
        <f>"FES1162740965"</f>
        <v>FES1162740965</v>
      </c>
      <c r="C1277" s="3" t="s">
        <v>662</v>
      </c>
      <c r="D1277" s="3">
        <v>1</v>
      </c>
      <c r="E1277" s="3" t="str">
        <f>"2170732648"</f>
        <v>2170732648</v>
      </c>
      <c r="F1277" s="3" t="s">
        <v>17</v>
      </c>
      <c r="G1277" s="3" t="s">
        <v>18</v>
      </c>
      <c r="H1277" s="3" t="s">
        <v>948</v>
      </c>
      <c r="I1277" s="3" t="s">
        <v>168</v>
      </c>
      <c r="J1277" s="3" t="s">
        <v>1051</v>
      </c>
      <c r="K1277" s="3" t="s">
        <v>1042</v>
      </c>
      <c r="L1277" s="4">
        <v>0.3888888888888889</v>
      </c>
      <c r="M1277" s="3" t="s">
        <v>1052</v>
      </c>
      <c r="N1277" s="3" t="s">
        <v>24</v>
      </c>
      <c r="O1277" s="3"/>
    </row>
    <row r="1278" spans="1:15">
      <c r="A1278" s="3" t="s">
        <v>15</v>
      </c>
      <c r="B1278" s="3" t="str">
        <f>"FES1162740950"</f>
        <v>FES1162740950</v>
      </c>
      <c r="C1278" s="3" t="s">
        <v>662</v>
      </c>
      <c r="D1278" s="3">
        <v>1</v>
      </c>
      <c r="E1278" s="3" t="str">
        <f>"2170732631"</f>
        <v>2170732631</v>
      </c>
      <c r="F1278" s="3" t="s">
        <v>17</v>
      </c>
      <c r="G1278" s="3" t="s">
        <v>18</v>
      </c>
      <c r="H1278" s="3" t="s">
        <v>66</v>
      </c>
      <c r="I1278" s="3" t="s">
        <v>67</v>
      </c>
      <c r="J1278" s="3" t="s">
        <v>927</v>
      </c>
      <c r="K1278" s="3" t="s">
        <v>1042</v>
      </c>
      <c r="L1278" s="4">
        <v>0.39930555555555558</v>
      </c>
      <c r="M1278" s="3" t="s">
        <v>1153</v>
      </c>
      <c r="N1278" s="3" t="s">
        <v>24</v>
      </c>
      <c r="O1278" s="3"/>
    </row>
    <row r="1279" spans="1:15">
      <c r="A1279" s="3" t="s">
        <v>15</v>
      </c>
      <c r="B1279" s="3" t="str">
        <f>"FES1162740967"</f>
        <v>FES1162740967</v>
      </c>
      <c r="C1279" s="3" t="s">
        <v>662</v>
      </c>
      <c r="D1279" s="3">
        <v>1</v>
      </c>
      <c r="E1279" s="3" t="str">
        <f>"2170732651"</f>
        <v>2170732651</v>
      </c>
      <c r="F1279" s="3" t="s">
        <v>17</v>
      </c>
      <c r="G1279" s="3" t="s">
        <v>18</v>
      </c>
      <c r="H1279" s="3" t="s">
        <v>66</v>
      </c>
      <c r="I1279" s="3" t="s">
        <v>67</v>
      </c>
      <c r="J1279" s="3" t="s">
        <v>1268</v>
      </c>
      <c r="K1279" s="3" t="s">
        <v>1042</v>
      </c>
      <c r="L1279" s="4">
        <v>0.38541666666666669</v>
      </c>
      <c r="M1279" s="3" t="s">
        <v>1269</v>
      </c>
      <c r="N1279" s="3" t="s">
        <v>24</v>
      </c>
      <c r="O1279" s="3"/>
    </row>
    <row r="1280" spans="1:15">
      <c r="A1280" s="3" t="s">
        <v>15</v>
      </c>
      <c r="B1280" s="3" t="str">
        <f>"FES1162740971"</f>
        <v>FES1162740971</v>
      </c>
      <c r="C1280" s="3" t="s">
        <v>662</v>
      </c>
      <c r="D1280" s="3">
        <v>1</v>
      </c>
      <c r="E1280" s="3" t="str">
        <f>"2170732156"</f>
        <v>2170732156</v>
      </c>
      <c r="F1280" s="3" t="s">
        <v>17</v>
      </c>
      <c r="G1280" s="3" t="s">
        <v>18</v>
      </c>
      <c r="H1280" s="3" t="s">
        <v>19</v>
      </c>
      <c r="I1280" s="3" t="s">
        <v>825</v>
      </c>
      <c r="J1280" s="3" t="s">
        <v>1270</v>
      </c>
      <c r="K1280" s="3" t="s">
        <v>1042</v>
      </c>
      <c r="L1280" s="4">
        <v>0.62986111111111109</v>
      </c>
      <c r="M1280" s="3" t="s">
        <v>437</v>
      </c>
      <c r="N1280" s="3" t="s">
        <v>24</v>
      </c>
      <c r="O1280" s="3"/>
    </row>
    <row r="1281" spans="1:15">
      <c r="A1281" s="3" t="s">
        <v>15</v>
      </c>
      <c r="B1281" s="3" t="str">
        <f>"FES1162740979"</f>
        <v>FES1162740979</v>
      </c>
      <c r="C1281" s="3" t="s">
        <v>662</v>
      </c>
      <c r="D1281" s="3">
        <v>1</v>
      </c>
      <c r="E1281" s="3" t="str">
        <f>"2170732665"</f>
        <v>2170732665</v>
      </c>
      <c r="F1281" s="3" t="s">
        <v>17</v>
      </c>
      <c r="G1281" s="3" t="s">
        <v>18</v>
      </c>
      <c r="H1281" s="3" t="s">
        <v>36</v>
      </c>
      <c r="I1281" s="3" t="s">
        <v>37</v>
      </c>
      <c r="J1281" s="3" t="s">
        <v>38</v>
      </c>
      <c r="K1281" s="3" t="s">
        <v>1042</v>
      </c>
      <c r="L1281" s="4">
        <v>0.3756944444444445</v>
      </c>
      <c r="M1281" s="3" t="s">
        <v>1081</v>
      </c>
      <c r="N1281" s="3" t="s">
        <v>24</v>
      </c>
      <c r="O1281" s="3"/>
    </row>
    <row r="1282" spans="1:15">
      <c r="A1282" s="3" t="s">
        <v>15</v>
      </c>
      <c r="B1282" s="3" t="str">
        <f>"FES1162740976"</f>
        <v>FES1162740976</v>
      </c>
      <c r="C1282" s="3" t="s">
        <v>662</v>
      </c>
      <c r="D1282" s="3">
        <v>1</v>
      </c>
      <c r="E1282" s="3" t="str">
        <f>"2170732600"</f>
        <v>2170732600</v>
      </c>
      <c r="F1282" s="3" t="s">
        <v>17</v>
      </c>
      <c r="G1282" s="3" t="s">
        <v>18</v>
      </c>
      <c r="H1282" s="3" t="s">
        <v>100</v>
      </c>
      <c r="I1282" s="3" t="s">
        <v>101</v>
      </c>
      <c r="J1282" s="3" t="s">
        <v>1264</v>
      </c>
      <c r="K1282" s="3" t="s">
        <v>1042</v>
      </c>
      <c r="L1282" s="4">
        <v>0.3034722222222222</v>
      </c>
      <c r="M1282" s="3" t="s">
        <v>1265</v>
      </c>
      <c r="N1282" s="3" t="s">
        <v>24</v>
      </c>
      <c r="O1282" s="3"/>
    </row>
    <row r="1283" spans="1:15">
      <c r="A1283" s="3" t="s">
        <v>15</v>
      </c>
      <c r="B1283" s="3" t="str">
        <f>"FES1162740966"</f>
        <v>FES1162740966</v>
      </c>
      <c r="C1283" s="3" t="s">
        <v>662</v>
      </c>
      <c r="D1283" s="3">
        <v>1</v>
      </c>
      <c r="E1283" s="3" t="str">
        <f>"2170732649"</f>
        <v>2170732649</v>
      </c>
      <c r="F1283" s="3" t="s">
        <v>17</v>
      </c>
      <c r="G1283" s="3" t="s">
        <v>18</v>
      </c>
      <c r="H1283" s="3" t="s">
        <v>1271</v>
      </c>
      <c r="I1283" s="3" t="s">
        <v>453</v>
      </c>
      <c r="J1283" s="3" t="s">
        <v>395</v>
      </c>
      <c r="K1283" s="3" t="s">
        <v>1042</v>
      </c>
      <c r="L1283" s="4">
        <v>0.33333333333333331</v>
      </c>
      <c r="M1283" s="3" t="s">
        <v>1272</v>
      </c>
      <c r="N1283" s="3" t="s">
        <v>24</v>
      </c>
      <c r="O1283" s="3"/>
    </row>
    <row r="1284" spans="1:15">
      <c r="A1284" s="3" t="s">
        <v>15</v>
      </c>
      <c r="B1284" s="3" t="str">
        <f>"FES1162740881"</f>
        <v>FES1162740881</v>
      </c>
      <c r="C1284" s="3" t="s">
        <v>662</v>
      </c>
      <c r="D1284" s="3">
        <v>1</v>
      </c>
      <c r="E1284" s="3" t="str">
        <f>"21707283658"</f>
        <v>21707283658</v>
      </c>
      <c r="F1284" s="3" t="s">
        <v>17</v>
      </c>
      <c r="G1284" s="3" t="s">
        <v>18</v>
      </c>
      <c r="H1284" s="3" t="s">
        <v>18</v>
      </c>
      <c r="I1284" s="3" t="s">
        <v>171</v>
      </c>
      <c r="J1284" s="3" t="s">
        <v>204</v>
      </c>
      <c r="K1284" s="3" t="s">
        <v>1042</v>
      </c>
      <c r="L1284" s="4">
        <v>0.4375</v>
      </c>
      <c r="M1284" s="3" t="s">
        <v>205</v>
      </c>
      <c r="N1284" s="3" t="s">
        <v>24</v>
      </c>
      <c r="O1284" s="3"/>
    </row>
    <row r="1285" spans="1:15">
      <c r="A1285" s="3" t="s">
        <v>15</v>
      </c>
      <c r="B1285" s="3" t="str">
        <f>"FES1162740990"</f>
        <v>FES1162740990</v>
      </c>
      <c r="C1285" s="3" t="s">
        <v>662</v>
      </c>
      <c r="D1285" s="3">
        <v>1</v>
      </c>
      <c r="E1285" s="3" t="str">
        <f>"217079454"</f>
        <v>217079454</v>
      </c>
      <c r="F1285" s="3" t="s">
        <v>17</v>
      </c>
      <c r="G1285" s="3" t="s">
        <v>18</v>
      </c>
      <c r="H1285" s="3" t="s">
        <v>19</v>
      </c>
      <c r="I1285" s="3" t="s">
        <v>236</v>
      </c>
      <c r="J1285" s="3" t="s">
        <v>633</v>
      </c>
      <c r="K1285" s="3" t="s">
        <v>1042</v>
      </c>
      <c r="L1285" s="4">
        <v>0.41666666666666669</v>
      </c>
      <c r="M1285" s="3" t="s">
        <v>634</v>
      </c>
      <c r="N1285" s="3" t="s">
        <v>24</v>
      </c>
      <c r="O1285" s="3"/>
    </row>
    <row r="1286" spans="1:15">
      <c r="A1286" s="3" t="s">
        <v>15</v>
      </c>
      <c r="B1286" s="3" t="str">
        <f>"FES1162740986"</f>
        <v>FES1162740986</v>
      </c>
      <c r="C1286" s="3" t="s">
        <v>662</v>
      </c>
      <c r="D1286" s="3">
        <v>1</v>
      </c>
      <c r="E1286" s="3" t="str">
        <f>"2170729245"</f>
        <v>2170729245</v>
      </c>
      <c r="F1286" s="3" t="s">
        <v>17</v>
      </c>
      <c r="G1286" s="3" t="s">
        <v>18</v>
      </c>
      <c r="H1286" s="3" t="s">
        <v>19</v>
      </c>
      <c r="I1286" s="3" t="s">
        <v>20</v>
      </c>
      <c r="J1286" s="3" t="s">
        <v>951</v>
      </c>
      <c r="K1286" s="3" t="s">
        <v>1042</v>
      </c>
      <c r="L1286" s="4">
        <v>0.30833333333333335</v>
      </c>
      <c r="M1286" s="3" t="s">
        <v>1273</v>
      </c>
      <c r="N1286" s="3" t="s">
        <v>24</v>
      </c>
      <c r="O1286" s="3"/>
    </row>
    <row r="1287" spans="1:15">
      <c r="A1287" s="3" t="s">
        <v>15</v>
      </c>
      <c r="B1287" s="3" t="str">
        <f>"FES1162740984"</f>
        <v>FES1162740984</v>
      </c>
      <c r="C1287" s="3" t="s">
        <v>662</v>
      </c>
      <c r="D1287" s="3">
        <v>1</v>
      </c>
      <c r="E1287" s="3" t="str">
        <f>"2170730198"</f>
        <v>2170730198</v>
      </c>
      <c r="F1287" s="3" t="s">
        <v>17</v>
      </c>
      <c r="G1287" s="3" t="s">
        <v>18</v>
      </c>
      <c r="H1287" s="3" t="s">
        <v>18</v>
      </c>
      <c r="I1287" s="3" t="s">
        <v>341</v>
      </c>
      <c r="J1287" s="3" t="s">
        <v>1274</v>
      </c>
      <c r="K1287" s="3" t="s">
        <v>1042</v>
      </c>
      <c r="L1287" s="4">
        <v>0.41666666666666669</v>
      </c>
      <c r="M1287" s="3" t="s">
        <v>1275</v>
      </c>
      <c r="N1287" s="3" t="s">
        <v>24</v>
      </c>
      <c r="O1287" s="3"/>
    </row>
    <row r="1288" spans="1:15">
      <c r="A1288" s="3" t="s">
        <v>15</v>
      </c>
      <c r="B1288" s="3" t="str">
        <f>"FES1162740973"</f>
        <v>FES1162740973</v>
      </c>
      <c r="C1288" s="3" t="s">
        <v>662</v>
      </c>
      <c r="D1288" s="3">
        <v>1</v>
      </c>
      <c r="E1288" s="3" t="str">
        <f>"2170732451"</f>
        <v>2170732451</v>
      </c>
      <c r="F1288" s="3" t="s">
        <v>17</v>
      </c>
      <c r="G1288" s="3" t="s">
        <v>18</v>
      </c>
      <c r="H1288" s="3" t="s">
        <v>100</v>
      </c>
      <c r="I1288" s="3" t="s">
        <v>101</v>
      </c>
      <c r="J1288" s="3" t="s">
        <v>1276</v>
      </c>
      <c r="K1288" s="3" t="s">
        <v>1042</v>
      </c>
      <c r="L1288" s="4">
        <v>0.3576388888888889</v>
      </c>
      <c r="M1288" s="3" t="s">
        <v>90</v>
      </c>
      <c r="N1288" s="3" t="s">
        <v>24</v>
      </c>
      <c r="O1288" s="3"/>
    </row>
    <row r="1289" spans="1:15">
      <c r="A1289" s="3" t="s">
        <v>15</v>
      </c>
      <c r="B1289" s="3" t="str">
        <f>"FES1162741004"</f>
        <v>FES1162741004</v>
      </c>
      <c r="C1289" s="3" t="s">
        <v>662</v>
      </c>
      <c r="D1289" s="3">
        <v>1</v>
      </c>
      <c r="E1289" s="3" t="str">
        <f>"2170732678"</f>
        <v>2170732678</v>
      </c>
      <c r="F1289" s="3" t="s">
        <v>17</v>
      </c>
      <c r="G1289" s="3" t="s">
        <v>18</v>
      </c>
      <c r="H1289" s="3" t="s">
        <v>534</v>
      </c>
      <c r="I1289" s="3" t="s">
        <v>596</v>
      </c>
      <c r="J1289" s="3" t="s">
        <v>597</v>
      </c>
      <c r="K1289" s="3" t="s">
        <v>1042</v>
      </c>
      <c r="L1289" s="4">
        <v>0.39583333333333331</v>
      </c>
      <c r="M1289" s="3" t="s">
        <v>598</v>
      </c>
      <c r="N1289" s="3" t="s">
        <v>24</v>
      </c>
      <c r="O1289" s="3"/>
    </row>
    <row r="1290" spans="1:15">
      <c r="A1290" s="3" t="s">
        <v>15</v>
      </c>
      <c r="B1290" s="3" t="str">
        <f>"FES1162741003"</f>
        <v>FES1162741003</v>
      </c>
      <c r="C1290" s="3" t="s">
        <v>662</v>
      </c>
      <c r="D1290" s="3">
        <v>1</v>
      </c>
      <c r="E1290" s="3" t="str">
        <f>"2170729730"</f>
        <v>2170729730</v>
      </c>
      <c r="F1290" s="3" t="s">
        <v>17</v>
      </c>
      <c r="G1290" s="3" t="s">
        <v>18</v>
      </c>
      <c r="H1290" s="3" t="s">
        <v>19</v>
      </c>
      <c r="I1290" s="3" t="s">
        <v>20</v>
      </c>
      <c r="J1290" s="3" t="s">
        <v>951</v>
      </c>
      <c r="K1290" s="3" t="s">
        <v>1042</v>
      </c>
      <c r="L1290" s="4">
        <v>0.30833333333333335</v>
      </c>
      <c r="M1290" s="3" t="s">
        <v>1273</v>
      </c>
      <c r="N1290" s="3" t="s">
        <v>24</v>
      </c>
      <c r="O1290" s="3"/>
    </row>
    <row r="1291" spans="1:15">
      <c r="A1291" s="3" t="s">
        <v>15</v>
      </c>
      <c r="B1291" s="3" t="str">
        <f>"FES1162740988"</f>
        <v>FES1162740988</v>
      </c>
      <c r="C1291" s="3" t="s">
        <v>662</v>
      </c>
      <c r="D1291" s="3">
        <v>1</v>
      </c>
      <c r="E1291" s="3" t="str">
        <f>"2170724671"</f>
        <v>2170724671</v>
      </c>
      <c r="F1291" s="3" t="s">
        <v>17</v>
      </c>
      <c r="G1291" s="3" t="s">
        <v>18</v>
      </c>
      <c r="H1291" s="3" t="s">
        <v>100</v>
      </c>
      <c r="I1291" s="3" t="s">
        <v>101</v>
      </c>
      <c r="J1291" s="3" t="s">
        <v>142</v>
      </c>
      <c r="K1291" s="3" t="s">
        <v>1042</v>
      </c>
      <c r="L1291" s="4">
        <v>0.39097222222222222</v>
      </c>
      <c r="M1291" s="3" t="s">
        <v>1169</v>
      </c>
      <c r="N1291" s="3" t="s">
        <v>24</v>
      </c>
      <c r="O1291" s="3"/>
    </row>
    <row r="1292" spans="1:15">
      <c r="A1292" s="3" t="s">
        <v>15</v>
      </c>
      <c r="B1292" s="3" t="str">
        <f>"FES1162740987"</f>
        <v>FES1162740987</v>
      </c>
      <c r="C1292" s="3" t="s">
        <v>662</v>
      </c>
      <c r="D1292" s="3">
        <v>1</v>
      </c>
      <c r="E1292" s="3" t="str">
        <f>"21707342670"</f>
        <v>21707342670</v>
      </c>
      <c r="F1292" s="3" t="s">
        <v>17</v>
      </c>
      <c r="G1292" s="3" t="s">
        <v>18</v>
      </c>
      <c r="H1292" s="3" t="s">
        <v>100</v>
      </c>
      <c r="I1292" s="3" t="s">
        <v>101</v>
      </c>
      <c r="J1292" s="3" t="s">
        <v>142</v>
      </c>
      <c r="K1292" s="3" t="s">
        <v>1042</v>
      </c>
      <c r="L1292" s="4">
        <v>0.39097222222222222</v>
      </c>
      <c r="M1292" s="3" t="s">
        <v>1169</v>
      </c>
      <c r="N1292" s="3" t="s">
        <v>24</v>
      </c>
      <c r="O1292" s="3"/>
    </row>
    <row r="1293" spans="1:15">
      <c r="A1293" s="3" t="s">
        <v>15</v>
      </c>
      <c r="B1293" s="3" t="str">
        <f>"FES1162740989"</f>
        <v>FES1162740989</v>
      </c>
      <c r="C1293" s="3" t="s">
        <v>662</v>
      </c>
      <c r="D1293" s="3">
        <v>1</v>
      </c>
      <c r="E1293" s="3" t="str">
        <f>"2170724672"</f>
        <v>2170724672</v>
      </c>
      <c r="F1293" s="3" t="s">
        <v>17</v>
      </c>
      <c r="G1293" s="3" t="s">
        <v>18</v>
      </c>
      <c r="H1293" s="3" t="s">
        <v>100</v>
      </c>
      <c r="I1293" s="3" t="s">
        <v>101</v>
      </c>
      <c r="J1293" s="3" t="s">
        <v>142</v>
      </c>
      <c r="K1293" s="3" t="s">
        <v>1042</v>
      </c>
      <c r="L1293" s="4">
        <v>0.39097222222222222</v>
      </c>
      <c r="M1293" s="3" t="s">
        <v>1169</v>
      </c>
      <c r="N1293" s="3" t="s">
        <v>24</v>
      </c>
      <c r="O1293" s="3"/>
    </row>
    <row r="1294" spans="1:15">
      <c r="A1294" s="3" t="s">
        <v>15</v>
      </c>
      <c r="B1294" s="3" t="str">
        <f>"FES1162741001"</f>
        <v>FES1162741001</v>
      </c>
      <c r="C1294" s="3" t="s">
        <v>662</v>
      </c>
      <c r="D1294" s="3">
        <v>1</v>
      </c>
      <c r="E1294" s="3" t="str">
        <f>"217072725"</f>
        <v>217072725</v>
      </c>
      <c r="F1294" s="3" t="s">
        <v>17</v>
      </c>
      <c r="G1294" s="3" t="s">
        <v>18</v>
      </c>
      <c r="H1294" s="3" t="s">
        <v>100</v>
      </c>
      <c r="I1294" s="3" t="s">
        <v>122</v>
      </c>
      <c r="J1294" s="3" t="s">
        <v>517</v>
      </c>
      <c r="K1294" s="3" t="s">
        <v>1042</v>
      </c>
      <c r="L1294" s="4">
        <v>0.41666666666666669</v>
      </c>
      <c r="M1294" s="3" t="s">
        <v>1277</v>
      </c>
      <c r="N1294" s="3" t="s">
        <v>24</v>
      </c>
      <c r="O1294" s="3"/>
    </row>
    <row r="1295" spans="1:15">
      <c r="A1295" s="3" t="s">
        <v>15</v>
      </c>
      <c r="B1295" s="3" t="str">
        <f>"FES1162740942"</f>
        <v>FES1162740942</v>
      </c>
      <c r="C1295" s="3" t="s">
        <v>662</v>
      </c>
      <c r="D1295" s="3">
        <v>1</v>
      </c>
      <c r="E1295" s="3" t="str">
        <f>"2170732621"</f>
        <v>2170732621</v>
      </c>
      <c r="F1295" s="3" t="s">
        <v>17</v>
      </c>
      <c r="G1295" s="3" t="s">
        <v>18</v>
      </c>
      <c r="H1295" s="3" t="s">
        <v>18</v>
      </c>
      <c r="I1295" s="3" t="s">
        <v>180</v>
      </c>
      <c r="J1295" s="3" t="s">
        <v>212</v>
      </c>
      <c r="K1295" s="3" t="s">
        <v>1042</v>
      </c>
      <c r="L1295" s="4">
        <v>0.42708333333333331</v>
      </c>
      <c r="M1295" s="3" t="s">
        <v>1278</v>
      </c>
      <c r="N1295" s="3" t="s">
        <v>24</v>
      </c>
      <c r="O1295" s="3"/>
    </row>
    <row r="1296" spans="1:15">
      <c r="A1296" s="3" t="s">
        <v>15</v>
      </c>
      <c r="B1296" s="3" t="str">
        <f>"FES1162740948"</f>
        <v>FES1162740948</v>
      </c>
      <c r="C1296" s="3" t="s">
        <v>662</v>
      </c>
      <c r="D1296" s="3">
        <v>1</v>
      </c>
      <c r="E1296" s="3" t="str">
        <f>"2170732627"</f>
        <v>2170732627</v>
      </c>
      <c r="F1296" s="3" t="s">
        <v>17</v>
      </c>
      <c r="G1296" s="3" t="s">
        <v>18</v>
      </c>
      <c r="H1296" s="3" t="s">
        <v>18</v>
      </c>
      <c r="I1296" s="3" t="s">
        <v>206</v>
      </c>
      <c r="J1296" s="3" t="s">
        <v>325</v>
      </c>
      <c r="K1296" s="3" t="s">
        <v>1042</v>
      </c>
      <c r="L1296" s="4">
        <v>0.33333333333333331</v>
      </c>
      <c r="M1296" s="3" t="s">
        <v>1279</v>
      </c>
      <c r="N1296" s="3" t="s">
        <v>24</v>
      </c>
      <c r="O1296" s="3"/>
    </row>
    <row r="1297" spans="1:15">
      <c r="A1297" s="3" t="s">
        <v>15</v>
      </c>
      <c r="B1297" s="3" t="str">
        <f>"FES1162740982"</f>
        <v>FES1162740982</v>
      </c>
      <c r="C1297" s="3" t="s">
        <v>662</v>
      </c>
      <c r="D1297" s="3">
        <v>1</v>
      </c>
      <c r="E1297" s="3" t="str">
        <f>"2170782939"</f>
        <v>2170782939</v>
      </c>
      <c r="F1297" s="3" t="s">
        <v>17</v>
      </c>
      <c r="G1297" s="3" t="s">
        <v>18</v>
      </c>
      <c r="H1297" s="3" t="s">
        <v>46</v>
      </c>
      <c r="I1297" s="3" t="s">
        <v>47</v>
      </c>
      <c r="J1297" s="3" t="s">
        <v>390</v>
      </c>
      <c r="K1297" s="3" t="s">
        <v>1042</v>
      </c>
      <c r="L1297" s="4">
        <v>0.35416666666666669</v>
      </c>
      <c r="M1297" s="3" t="s">
        <v>1280</v>
      </c>
      <c r="N1297" s="3" t="s">
        <v>24</v>
      </c>
      <c r="O1297" s="3"/>
    </row>
    <row r="1298" spans="1:15">
      <c r="A1298" s="3" t="s">
        <v>15</v>
      </c>
      <c r="B1298" s="3" t="str">
        <f>"FES1162740993"</f>
        <v>FES1162740993</v>
      </c>
      <c r="C1298" s="3" t="s">
        <v>662</v>
      </c>
      <c r="D1298" s="3">
        <v>1</v>
      </c>
      <c r="E1298" s="3" t="str">
        <f>"21707300923"</f>
        <v>21707300923</v>
      </c>
      <c r="F1298" s="3" t="s">
        <v>17</v>
      </c>
      <c r="G1298" s="3" t="s">
        <v>18</v>
      </c>
      <c r="H1298" s="3" t="s">
        <v>46</v>
      </c>
      <c r="I1298" s="3" t="s">
        <v>47</v>
      </c>
      <c r="J1298" s="3" t="s">
        <v>48</v>
      </c>
      <c r="K1298" s="3" t="s">
        <v>1042</v>
      </c>
      <c r="L1298" s="4">
        <v>0.43333333333333335</v>
      </c>
      <c r="M1298" s="3" t="s">
        <v>1025</v>
      </c>
      <c r="N1298" s="3" t="s">
        <v>24</v>
      </c>
      <c r="O1298" s="3"/>
    </row>
    <row r="1299" spans="1:15">
      <c r="A1299" s="3" t="s">
        <v>15</v>
      </c>
      <c r="B1299" s="3" t="str">
        <f>"FES1162741000"</f>
        <v>FES1162741000</v>
      </c>
      <c r="C1299" s="3" t="s">
        <v>662</v>
      </c>
      <c r="D1299" s="3">
        <v>1</v>
      </c>
      <c r="E1299" s="3" t="str">
        <f>"2170732677"</f>
        <v>2170732677</v>
      </c>
      <c r="F1299" s="3" t="s">
        <v>17</v>
      </c>
      <c r="G1299" s="3" t="s">
        <v>18</v>
      </c>
      <c r="H1299" s="3" t="s">
        <v>36</v>
      </c>
      <c r="I1299" s="3" t="s">
        <v>37</v>
      </c>
      <c r="J1299" s="3" t="s">
        <v>38</v>
      </c>
      <c r="K1299" s="3" t="s">
        <v>1042</v>
      </c>
      <c r="L1299" s="4">
        <v>0.3756944444444445</v>
      </c>
      <c r="M1299" s="3" t="s">
        <v>1081</v>
      </c>
      <c r="N1299" s="3" t="s">
        <v>24</v>
      </c>
      <c r="O1299" s="3"/>
    </row>
    <row r="1300" spans="1:15">
      <c r="A1300" s="3" t="s">
        <v>15</v>
      </c>
      <c r="B1300" s="3" t="str">
        <f>"FES1162740972"</f>
        <v>FES1162740972</v>
      </c>
      <c r="C1300" s="3" t="s">
        <v>662</v>
      </c>
      <c r="D1300" s="3">
        <v>1</v>
      </c>
      <c r="E1300" s="3" t="str">
        <f>"2170732329"</f>
        <v>2170732329</v>
      </c>
      <c r="F1300" s="3" t="s">
        <v>17</v>
      </c>
      <c r="G1300" s="3" t="s">
        <v>18</v>
      </c>
      <c r="H1300" s="3" t="s">
        <v>66</v>
      </c>
      <c r="I1300" s="3" t="s">
        <v>67</v>
      </c>
      <c r="J1300" s="3" t="s">
        <v>660</v>
      </c>
      <c r="K1300" s="3" t="s">
        <v>1190</v>
      </c>
      <c r="L1300" s="4">
        <v>0.4861111111111111</v>
      </c>
      <c r="M1300" s="3" t="s">
        <v>1281</v>
      </c>
      <c r="N1300" s="3" t="s">
        <v>24</v>
      </c>
      <c r="O1300" s="3"/>
    </row>
    <row r="1301" spans="1:15">
      <c r="A1301" s="3" t="s">
        <v>15</v>
      </c>
      <c r="B1301" s="3" t="str">
        <f>"FES1162740997"</f>
        <v>FES1162740997</v>
      </c>
      <c r="C1301" s="3" t="s">
        <v>662</v>
      </c>
      <c r="D1301" s="3">
        <v>1</v>
      </c>
      <c r="E1301" s="3" t="str">
        <f>"2170732668"</f>
        <v>2170732668</v>
      </c>
      <c r="F1301" s="3" t="s">
        <v>17</v>
      </c>
      <c r="G1301" s="3" t="s">
        <v>18</v>
      </c>
      <c r="H1301" s="3" t="s">
        <v>36</v>
      </c>
      <c r="I1301" s="3" t="s">
        <v>37</v>
      </c>
      <c r="J1301" s="3" t="s">
        <v>113</v>
      </c>
      <c r="K1301" s="3" t="s">
        <v>1042</v>
      </c>
      <c r="L1301" s="4">
        <v>0.4236111111111111</v>
      </c>
      <c r="M1301" s="3" t="s">
        <v>254</v>
      </c>
      <c r="N1301" s="3" t="s">
        <v>24</v>
      </c>
      <c r="O1301" s="3"/>
    </row>
    <row r="1302" spans="1:15">
      <c r="A1302" s="3" t="s">
        <v>15</v>
      </c>
      <c r="B1302" s="3" t="str">
        <f>"FES1162740996"</f>
        <v>FES1162740996</v>
      </c>
      <c r="C1302" s="3" t="s">
        <v>662</v>
      </c>
      <c r="D1302" s="3">
        <v>3</v>
      </c>
      <c r="E1302" s="3" t="str">
        <f>"2170729092"</f>
        <v>2170729092</v>
      </c>
      <c r="F1302" s="3" t="s">
        <v>17</v>
      </c>
      <c r="G1302" s="3" t="s">
        <v>18</v>
      </c>
      <c r="H1302" s="3" t="s">
        <v>36</v>
      </c>
      <c r="I1302" s="3" t="s">
        <v>174</v>
      </c>
      <c r="J1302" s="3" t="s">
        <v>175</v>
      </c>
      <c r="K1302" s="3" t="s">
        <v>1042</v>
      </c>
      <c r="L1302" s="4">
        <v>0.34722222222222227</v>
      </c>
      <c r="M1302" s="3" t="s">
        <v>176</v>
      </c>
      <c r="N1302" s="3" t="s">
        <v>24</v>
      </c>
      <c r="O1302" s="3"/>
    </row>
    <row r="1303" spans="1:15">
      <c r="A1303" s="3" t="s">
        <v>15</v>
      </c>
      <c r="B1303" s="3" t="str">
        <f>"FES1162740974"</f>
        <v>FES1162740974</v>
      </c>
      <c r="C1303" s="3" t="s">
        <v>662</v>
      </c>
      <c r="D1303" s="3">
        <v>1</v>
      </c>
      <c r="E1303" s="3" t="str">
        <f>"2170732452"</f>
        <v>2170732452</v>
      </c>
      <c r="F1303" s="3" t="s">
        <v>17</v>
      </c>
      <c r="G1303" s="3" t="s">
        <v>18</v>
      </c>
      <c r="H1303" s="3" t="s">
        <v>18</v>
      </c>
      <c r="I1303" s="3" t="s">
        <v>33</v>
      </c>
      <c r="J1303" s="3" t="s">
        <v>729</v>
      </c>
      <c r="K1303" s="3" t="s">
        <v>1042</v>
      </c>
      <c r="L1303" s="4">
        <v>0.375</v>
      </c>
      <c r="M1303" s="3" t="s">
        <v>1282</v>
      </c>
      <c r="N1303" s="3" t="s">
        <v>24</v>
      </c>
      <c r="O1303" s="3"/>
    </row>
    <row r="1304" spans="1:15">
      <c r="A1304" s="3" t="s">
        <v>15</v>
      </c>
      <c r="B1304" s="3" t="str">
        <f>"FES1162740991"</f>
        <v>FES1162740991</v>
      </c>
      <c r="C1304" s="3" t="s">
        <v>662</v>
      </c>
      <c r="D1304" s="3">
        <v>1</v>
      </c>
      <c r="E1304" s="3" t="str">
        <f>"2170729472"</f>
        <v>2170729472</v>
      </c>
      <c r="F1304" s="3" t="s">
        <v>17</v>
      </c>
      <c r="G1304" s="3" t="s">
        <v>18</v>
      </c>
      <c r="H1304" s="3" t="s">
        <v>18</v>
      </c>
      <c r="I1304" s="3" t="s">
        <v>168</v>
      </c>
      <c r="J1304" s="3" t="s">
        <v>302</v>
      </c>
      <c r="K1304" s="3" t="s">
        <v>1042</v>
      </c>
      <c r="L1304" s="4">
        <v>0.38472222222222219</v>
      </c>
      <c r="M1304" s="3" t="s">
        <v>1283</v>
      </c>
      <c r="N1304" s="3" t="s">
        <v>24</v>
      </c>
      <c r="O1304" s="3"/>
    </row>
    <row r="1305" spans="1:15">
      <c r="A1305" s="3" t="s">
        <v>15</v>
      </c>
      <c r="B1305" s="3" t="str">
        <f>"FES1162740998"</f>
        <v>FES1162740998</v>
      </c>
      <c r="C1305" s="3" t="s">
        <v>662</v>
      </c>
      <c r="D1305" s="3">
        <v>1</v>
      </c>
      <c r="E1305" s="3" t="str">
        <f>"217072669"</f>
        <v>217072669</v>
      </c>
      <c r="F1305" s="3" t="s">
        <v>17</v>
      </c>
      <c r="G1305" s="3" t="s">
        <v>18</v>
      </c>
      <c r="H1305" s="3" t="s">
        <v>36</v>
      </c>
      <c r="I1305" s="3" t="s">
        <v>37</v>
      </c>
      <c r="J1305" s="3" t="s">
        <v>38</v>
      </c>
      <c r="K1305" s="3" t="s">
        <v>1042</v>
      </c>
      <c r="L1305" s="4">
        <v>0.3756944444444445</v>
      </c>
      <c r="M1305" s="3" t="s">
        <v>1081</v>
      </c>
      <c r="N1305" s="3" t="s">
        <v>24</v>
      </c>
      <c r="O1305" s="3"/>
    </row>
    <row r="1306" spans="1:15">
      <c r="A1306" s="3" t="s">
        <v>15</v>
      </c>
      <c r="B1306" s="3" t="str">
        <f>"FES1162740969"</f>
        <v>FES1162740969</v>
      </c>
      <c r="C1306" s="3" t="s">
        <v>662</v>
      </c>
      <c r="D1306" s="3">
        <v>1</v>
      </c>
      <c r="E1306" s="3" t="str">
        <f>"2170732653"</f>
        <v>2170732653</v>
      </c>
      <c r="F1306" s="3" t="s">
        <v>17</v>
      </c>
      <c r="G1306" s="3" t="s">
        <v>18</v>
      </c>
      <c r="H1306" s="3" t="s">
        <v>18</v>
      </c>
      <c r="I1306" s="3" t="s">
        <v>309</v>
      </c>
      <c r="J1306" s="3" t="s">
        <v>1284</v>
      </c>
      <c r="K1306" s="3" t="s">
        <v>1042</v>
      </c>
      <c r="L1306" s="4">
        <v>0.30069444444444443</v>
      </c>
      <c r="M1306" s="3" t="s">
        <v>190</v>
      </c>
      <c r="N1306" s="3" t="s">
        <v>24</v>
      </c>
      <c r="O1306" s="3"/>
    </row>
    <row r="1307" spans="1:15">
      <c r="A1307" s="3" t="s">
        <v>15</v>
      </c>
      <c r="B1307" s="3" t="str">
        <f>"FES1162741006"</f>
        <v>FES1162741006</v>
      </c>
      <c r="C1307" s="3" t="s">
        <v>662</v>
      </c>
      <c r="D1307" s="3">
        <v>1</v>
      </c>
      <c r="E1307" s="3" t="str">
        <f>"2170732681"</f>
        <v>2170732681</v>
      </c>
      <c r="F1307" s="3" t="s">
        <v>17</v>
      </c>
      <c r="G1307" s="3" t="s">
        <v>18</v>
      </c>
      <c r="H1307" s="3" t="s">
        <v>36</v>
      </c>
      <c r="I1307" s="3" t="s">
        <v>37</v>
      </c>
      <c r="J1307" s="3" t="s">
        <v>38</v>
      </c>
      <c r="K1307" s="3" t="s">
        <v>1042</v>
      </c>
      <c r="L1307" s="4">
        <v>0.3756944444444445</v>
      </c>
      <c r="M1307" s="3" t="s">
        <v>1081</v>
      </c>
      <c r="N1307" s="3" t="s">
        <v>24</v>
      </c>
      <c r="O1307" s="3"/>
    </row>
    <row r="1308" spans="1:15">
      <c r="A1308" s="3" t="s">
        <v>15</v>
      </c>
      <c r="B1308" s="3" t="str">
        <f>"009935712243"</f>
        <v>009935712243</v>
      </c>
      <c r="C1308" s="3" t="s">
        <v>662</v>
      </c>
      <c r="D1308" s="3">
        <v>1</v>
      </c>
      <c r="E1308" s="3" t="str">
        <f>"1162737916"</f>
        <v>1162737916</v>
      </c>
      <c r="F1308" s="3" t="s">
        <v>17</v>
      </c>
      <c r="G1308" s="3" t="s">
        <v>18</v>
      </c>
      <c r="H1308" s="3" t="s">
        <v>18</v>
      </c>
      <c r="I1308" s="3" t="s">
        <v>206</v>
      </c>
      <c r="J1308" s="3" t="s">
        <v>207</v>
      </c>
      <c r="K1308" s="3" t="s">
        <v>1042</v>
      </c>
      <c r="L1308" s="4">
        <v>0.33333333333333331</v>
      </c>
      <c r="M1308" s="3" t="s">
        <v>182</v>
      </c>
      <c r="N1308" s="3" t="s">
        <v>24</v>
      </c>
      <c r="O1308" s="3"/>
    </row>
    <row r="1309" spans="1:15">
      <c r="A1309" s="3" t="s">
        <v>15</v>
      </c>
      <c r="B1309" s="3" t="str">
        <f>"FES1162740977"</f>
        <v>FES1162740977</v>
      </c>
      <c r="C1309" s="3" t="s">
        <v>662</v>
      </c>
      <c r="D1309" s="3">
        <v>1</v>
      </c>
      <c r="E1309" s="3" t="str">
        <f>"2170732662"</f>
        <v>2170732662</v>
      </c>
      <c r="F1309" s="3" t="s">
        <v>17</v>
      </c>
      <c r="G1309" s="3" t="s">
        <v>18</v>
      </c>
      <c r="H1309" s="3" t="s">
        <v>66</v>
      </c>
      <c r="I1309" s="3" t="s">
        <v>67</v>
      </c>
      <c r="J1309" s="3" t="s">
        <v>68</v>
      </c>
      <c r="K1309" s="3" t="s">
        <v>1042</v>
      </c>
      <c r="L1309" s="4">
        <v>0.38541666666666669</v>
      </c>
      <c r="M1309" s="3" t="s">
        <v>502</v>
      </c>
      <c r="N1309" s="3" t="s">
        <v>24</v>
      </c>
      <c r="O1309" s="3"/>
    </row>
    <row r="1310" spans="1:15">
      <c r="A1310" s="3" t="s">
        <v>15</v>
      </c>
      <c r="B1310" s="3" t="str">
        <f>"FES1162740952"</f>
        <v>FES1162740952</v>
      </c>
      <c r="C1310" s="3" t="s">
        <v>662</v>
      </c>
      <c r="D1310" s="3">
        <v>1</v>
      </c>
      <c r="E1310" s="3" t="str">
        <f>"217073634"</f>
        <v>217073634</v>
      </c>
      <c r="F1310" s="3" t="s">
        <v>17</v>
      </c>
      <c r="G1310" s="3" t="s">
        <v>18</v>
      </c>
      <c r="H1310" s="3" t="s">
        <v>18</v>
      </c>
      <c r="I1310" s="3" t="s">
        <v>171</v>
      </c>
      <c r="J1310" s="3" t="s">
        <v>1262</v>
      </c>
      <c r="K1310" s="3" t="s">
        <v>1042</v>
      </c>
      <c r="L1310" s="4">
        <v>0.3659722222222222</v>
      </c>
      <c r="M1310" s="3" t="s">
        <v>1263</v>
      </c>
      <c r="N1310" s="3" t="s">
        <v>24</v>
      </c>
      <c r="O1310" s="3"/>
    </row>
    <row r="1311" spans="1:15">
      <c r="A1311" s="3" t="s">
        <v>15</v>
      </c>
      <c r="B1311" s="3" t="str">
        <f>"FES1162741179"</f>
        <v>FES1162741179</v>
      </c>
      <c r="C1311" s="3" t="s">
        <v>1042</v>
      </c>
      <c r="D1311" s="3">
        <v>1</v>
      </c>
      <c r="E1311" s="3" t="str">
        <f>"2170732789"</f>
        <v>2170732789</v>
      </c>
      <c r="F1311" s="3" t="s">
        <v>17</v>
      </c>
      <c r="G1311" s="3" t="s">
        <v>18</v>
      </c>
      <c r="H1311" s="3" t="s">
        <v>18</v>
      </c>
      <c r="I1311" s="3" t="s">
        <v>29</v>
      </c>
      <c r="J1311" s="3" t="s">
        <v>618</v>
      </c>
      <c r="K1311" s="3" t="s">
        <v>1190</v>
      </c>
      <c r="L1311" s="4">
        <v>0.3125</v>
      </c>
      <c r="M1311" s="3" t="s">
        <v>619</v>
      </c>
      <c r="N1311" s="3" t="s">
        <v>24</v>
      </c>
      <c r="O1311" s="3"/>
    </row>
    <row r="1312" spans="1:15">
      <c r="A1312" s="5" t="s">
        <v>15</v>
      </c>
      <c r="B1312" s="5" t="str">
        <f>"FES1162741277"</f>
        <v>FES1162741277</v>
      </c>
      <c r="C1312" s="5" t="s">
        <v>1042</v>
      </c>
      <c r="D1312" s="5">
        <v>1</v>
      </c>
      <c r="E1312" s="5" t="str">
        <f>"2170732906"</f>
        <v>2170732906</v>
      </c>
      <c r="F1312" s="5" t="s">
        <v>17</v>
      </c>
      <c r="G1312" s="5" t="s">
        <v>18</v>
      </c>
      <c r="H1312" s="5" t="s">
        <v>36</v>
      </c>
      <c r="I1312" s="5" t="s">
        <v>37</v>
      </c>
      <c r="J1312" s="5" t="s">
        <v>260</v>
      </c>
      <c r="K1312" s="5" t="s">
        <v>1190</v>
      </c>
      <c r="L1312" s="6">
        <v>0.41180555555555554</v>
      </c>
      <c r="M1312" s="5" t="s">
        <v>788</v>
      </c>
      <c r="N1312" s="5" t="s">
        <v>24</v>
      </c>
      <c r="O1312" s="5"/>
    </row>
    <row r="1313" spans="1:15">
      <c r="A1313" s="5" t="s">
        <v>15</v>
      </c>
      <c r="B1313" s="5" t="str">
        <f>"FES1162741308"</f>
        <v>FES1162741308</v>
      </c>
      <c r="C1313" s="5" t="s">
        <v>1042</v>
      </c>
      <c r="D1313" s="5">
        <v>1</v>
      </c>
      <c r="E1313" s="5" t="str">
        <f>"2170732944"</f>
        <v>2170732944</v>
      </c>
      <c r="F1313" s="5" t="s">
        <v>17</v>
      </c>
      <c r="G1313" s="5" t="s">
        <v>18</v>
      </c>
      <c r="H1313" s="5" t="s">
        <v>100</v>
      </c>
      <c r="I1313" s="5" t="s">
        <v>101</v>
      </c>
      <c r="J1313" s="5" t="s">
        <v>1285</v>
      </c>
      <c r="K1313" s="5" t="s">
        <v>1190</v>
      </c>
      <c r="L1313" s="6">
        <v>0.42222222222222222</v>
      </c>
      <c r="M1313" s="5" t="s">
        <v>1286</v>
      </c>
      <c r="N1313" s="5" t="s">
        <v>24</v>
      </c>
      <c r="O1313" s="5"/>
    </row>
    <row r="1314" spans="1:15">
      <c r="A1314" s="5" t="s">
        <v>15</v>
      </c>
      <c r="B1314" s="5" t="str">
        <f>"FES1162741122"</f>
        <v>FES1162741122</v>
      </c>
      <c r="C1314" s="5" t="s">
        <v>1042</v>
      </c>
      <c r="D1314" s="5">
        <v>1</v>
      </c>
      <c r="E1314" s="5" t="str">
        <f>"2170731063"</f>
        <v>2170731063</v>
      </c>
      <c r="F1314" s="5" t="s">
        <v>17</v>
      </c>
      <c r="G1314" s="5" t="s">
        <v>18</v>
      </c>
      <c r="H1314" s="5" t="s">
        <v>100</v>
      </c>
      <c r="I1314" s="5" t="s">
        <v>101</v>
      </c>
      <c r="J1314" s="5" t="s">
        <v>195</v>
      </c>
      <c r="K1314" s="5" t="s">
        <v>1190</v>
      </c>
      <c r="L1314" s="6">
        <v>0.47222222222222227</v>
      </c>
      <c r="M1314" s="5" t="s">
        <v>196</v>
      </c>
      <c r="N1314" s="5" t="s">
        <v>24</v>
      </c>
      <c r="O1314" s="5"/>
    </row>
    <row r="1315" spans="1:15">
      <c r="A1315" s="5" t="s">
        <v>15</v>
      </c>
      <c r="B1315" s="5" t="str">
        <f>"FES1162741280"</f>
        <v>FES1162741280</v>
      </c>
      <c r="C1315" s="5" t="s">
        <v>1042</v>
      </c>
      <c r="D1315" s="5">
        <v>1</v>
      </c>
      <c r="E1315" s="5" t="str">
        <f>"2170732912"</f>
        <v>2170732912</v>
      </c>
      <c r="F1315" s="5" t="s">
        <v>17</v>
      </c>
      <c r="G1315" s="5" t="s">
        <v>18</v>
      </c>
      <c r="H1315" s="5" t="s">
        <v>19</v>
      </c>
      <c r="I1315" s="5" t="s">
        <v>51</v>
      </c>
      <c r="J1315" s="5" t="s">
        <v>91</v>
      </c>
      <c r="K1315" s="5" t="s">
        <v>1190</v>
      </c>
      <c r="L1315" s="6">
        <v>0.40833333333333338</v>
      </c>
      <c r="M1315" s="5" t="s">
        <v>1287</v>
      </c>
      <c r="N1315" s="5" t="s">
        <v>24</v>
      </c>
      <c r="O1315" s="5"/>
    </row>
    <row r="1316" spans="1:15">
      <c r="A1316" s="5" t="s">
        <v>15</v>
      </c>
      <c r="B1316" s="5" t="str">
        <f>"FES1162741131"</f>
        <v>FES1162741131</v>
      </c>
      <c r="C1316" s="5" t="s">
        <v>1042</v>
      </c>
      <c r="D1316" s="5">
        <v>1</v>
      </c>
      <c r="E1316" s="5" t="str">
        <f>"2170731759"</f>
        <v>2170731759</v>
      </c>
      <c r="F1316" s="5" t="s">
        <v>17</v>
      </c>
      <c r="G1316" s="5" t="s">
        <v>18</v>
      </c>
      <c r="H1316" s="5" t="s">
        <v>46</v>
      </c>
      <c r="I1316" s="5" t="s">
        <v>744</v>
      </c>
      <c r="J1316" s="5" t="s">
        <v>745</v>
      </c>
      <c r="K1316" s="5" t="s">
        <v>1228</v>
      </c>
      <c r="L1316" s="6">
        <v>0.40833333333333338</v>
      </c>
      <c r="M1316" s="5" t="s">
        <v>1288</v>
      </c>
      <c r="N1316" s="5" t="s">
        <v>24</v>
      </c>
      <c r="O1316" s="5" t="s">
        <v>1289</v>
      </c>
    </row>
    <row r="1317" spans="1:15">
      <c r="A1317" s="5" t="s">
        <v>15</v>
      </c>
      <c r="B1317" s="5" t="str">
        <f>"FES1162741150"</f>
        <v>FES1162741150</v>
      </c>
      <c r="C1317" s="5" t="s">
        <v>1042</v>
      </c>
      <c r="D1317" s="5">
        <v>1</v>
      </c>
      <c r="E1317" s="5" t="str">
        <f>"2170727584"</f>
        <v>2170727584</v>
      </c>
      <c r="F1317" s="5" t="s">
        <v>17</v>
      </c>
      <c r="G1317" s="5" t="s">
        <v>18</v>
      </c>
      <c r="H1317" s="5" t="s">
        <v>100</v>
      </c>
      <c r="I1317" s="5" t="s">
        <v>101</v>
      </c>
      <c r="J1317" s="5" t="s">
        <v>731</v>
      </c>
      <c r="K1317" s="5" t="s">
        <v>1190</v>
      </c>
      <c r="L1317" s="6">
        <v>0.33402777777777781</v>
      </c>
      <c r="M1317" s="5" t="s">
        <v>1290</v>
      </c>
      <c r="N1317" s="5" t="s">
        <v>24</v>
      </c>
      <c r="O1317" s="5"/>
    </row>
    <row r="1318" spans="1:15">
      <c r="A1318" s="5" t="s">
        <v>15</v>
      </c>
      <c r="B1318" s="5" t="str">
        <f>"FES1162741149"</f>
        <v>FES1162741149</v>
      </c>
      <c r="C1318" s="5" t="s">
        <v>1042</v>
      </c>
      <c r="D1318" s="5">
        <v>1</v>
      </c>
      <c r="E1318" s="5" t="str">
        <f>"2170724908"</f>
        <v>2170724908</v>
      </c>
      <c r="F1318" s="5" t="s">
        <v>17</v>
      </c>
      <c r="G1318" s="5" t="s">
        <v>18</v>
      </c>
      <c r="H1318" s="5" t="s">
        <v>100</v>
      </c>
      <c r="I1318" s="5" t="s">
        <v>101</v>
      </c>
      <c r="J1318" s="5" t="s">
        <v>265</v>
      </c>
      <c r="K1318" s="5" t="s">
        <v>1190</v>
      </c>
      <c r="L1318" s="6">
        <v>0.33263888888888887</v>
      </c>
      <c r="M1318" s="5" t="s">
        <v>670</v>
      </c>
      <c r="N1318" s="5" t="s">
        <v>24</v>
      </c>
      <c r="O1318" s="5"/>
    </row>
    <row r="1319" spans="1:15">
      <c r="A1319" s="5" t="s">
        <v>15</v>
      </c>
      <c r="B1319" s="5" t="str">
        <f>"FES1162740985"</f>
        <v>FES1162740985</v>
      </c>
      <c r="C1319" s="5" t="s">
        <v>1042</v>
      </c>
      <c r="D1319" s="5">
        <v>1</v>
      </c>
      <c r="E1319" s="5" t="str">
        <f>"2170729226"</f>
        <v>2170729226</v>
      </c>
      <c r="F1319" s="5" t="s">
        <v>17</v>
      </c>
      <c r="G1319" s="5" t="s">
        <v>18</v>
      </c>
      <c r="H1319" s="5" t="s">
        <v>18</v>
      </c>
      <c r="I1319" s="5" t="s">
        <v>180</v>
      </c>
      <c r="J1319" s="5" t="s">
        <v>181</v>
      </c>
      <c r="K1319" s="5" t="s">
        <v>1190</v>
      </c>
      <c r="L1319" s="6">
        <v>0.41666666666666669</v>
      </c>
      <c r="M1319" s="5" t="s">
        <v>488</v>
      </c>
      <c r="N1319" s="5" t="s">
        <v>24</v>
      </c>
      <c r="O1319" s="5"/>
    </row>
    <row r="1320" spans="1:15">
      <c r="A1320" s="5" t="s">
        <v>15</v>
      </c>
      <c r="B1320" s="5" t="str">
        <f>"FES1162740983"</f>
        <v>FES1162740983</v>
      </c>
      <c r="C1320" s="5" t="s">
        <v>1042</v>
      </c>
      <c r="D1320" s="5">
        <v>1</v>
      </c>
      <c r="E1320" s="5" t="str">
        <f>"2170728250"</f>
        <v>2170728250</v>
      </c>
      <c r="F1320" s="5" t="s">
        <v>17</v>
      </c>
      <c r="G1320" s="5" t="s">
        <v>18</v>
      </c>
      <c r="H1320" s="5" t="s">
        <v>18</v>
      </c>
      <c r="I1320" s="5" t="s">
        <v>151</v>
      </c>
      <c r="J1320" s="5" t="s">
        <v>407</v>
      </c>
      <c r="K1320" s="5" t="s">
        <v>1190</v>
      </c>
      <c r="L1320" s="6">
        <v>0.49583333333333335</v>
      </c>
      <c r="M1320" s="5" t="s">
        <v>1291</v>
      </c>
      <c r="N1320" s="5" t="s">
        <v>24</v>
      </c>
      <c r="O1320" s="5"/>
    </row>
    <row r="1321" spans="1:15">
      <c r="A1321" s="3" t="s">
        <v>15</v>
      </c>
      <c r="B1321" s="3" t="str">
        <f>"FES1162741039"</f>
        <v>FES1162741039</v>
      </c>
      <c r="C1321" s="3" t="s">
        <v>1042</v>
      </c>
      <c r="D1321" s="3">
        <v>1</v>
      </c>
      <c r="E1321" s="3" t="str">
        <f>"2170729739"</f>
        <v>2170729739</v>
      </c>
      <c r="F1321" s="3" t="s">
        <v>17</v>
      </c>
      <c r="G1321" s="3" t="s">
        <v>18</v>
      </c>
      <c r="H1321" s="3" t="s">
        <v>18</v>
      </c>
      <c r="I1321" s="3" t="s">
        <v>291</v>
      </c>
      <c r="J1321" s="3" t="s">
        <v>1292</v>
      </c>
      <c r="K1321" s="3" t="s">
        <v>1190</v>
      </c>
      <c r="L1321" s="4">
        <v>0.33333333333333331</v>
      </c>
      <c r="M1321" s="3" t="s">
        <v>1293</v>
      </c>
      <c r="N1321" s="3" t="s">
        <v>24</v>
      </c>
      <c r="O1321" s="3"/>
    </row>
    <row r="1322" spans="1:15">
      <c r="A1322" s="3" t="s">
        <v>15</v>
      </c>
      <c r="B1322" s="3" t="str">
        <f>"FES1162740992"</f>
        <v>FES1162740992</v>
      </c>
      <c r="C1322" s="3" t="s">
        <v>1042</v>
      </c>
      <c r="D1322" s="3">
        <v>1</v>
      </c>
      <c r="E1322" s="3" t="str">
        <f>"2170730084"</f>
        <v>2170730084</v>
      </c>
      <c r="F1322" s="3" t="s">
        <v>17</v>
      </c>
      <c r="G1322" s="3" t="s">
        <v>18</v>
      </c>
      <c r="H1322" s="3" t="s">
        <v>66</v>
      </c>
      <c r="I1322" s="3" t="s">
        <v>67</v>
      </c>
      <c r="J1322" s="3" t="s">
        <v>1294</v>
      </c>
      <c r="K1322" s="3" t="s">
        <v>1190</v>
      </c>
      <c r="L1322" s="4">
        <v>0.39930555555555558</v>
      </c>
      <c r="M1322" s="3" t="s">
        <v>1295</v>
      </c>
      <c r="N1322" s="3" t="s">
        <v>24</v>
      </c>
      <c r="O1322" s="3"/>
    </row>
    <row r="1323" spans="1:15">
      <c r="A1323" s="3" t="s">
        <v>15</v>
      </c>
      <c r="B1323" s="3" t="str">
        <f>"FES1162740994"</f>
        <v>FES1162740994</v>
      </c>
      <c r="C1323" s="3" t="s">
        <v>1042</v>
      </c>
      <c r="D1323" s="3">
        <v>1</v>
      </c>
      <c r="E1323" s="3" t="str">
        <f>"2170730615"</f>
        <v>2170730615</v>
      </c>
      <c r="F1323" s="3" t="s">
        <v>17</v>
      </c>
      <c r="G1323" s="3" t="s">
        <v>18</v>
      </c>
      <c r="H1323" s="3" t="s">
        <v>18</v>
      </c>
      <c r="I1323" s="3" t="s">
        <v>29</v>
      </c>
      <c r="J1323" s="3" t="s">
        <v>493</v>
      </c>
      <c r="K1323" s="3" t="s">
        <v>1190</v>
      </c>
      <c r="L1323" s="4">
        <v>0.29166666666666669</v>
      </c>
      <c r="M1323" s="3" t="s">
        <v>494</v>
      </c>
      <c r="N1323" s="3" t="s">
        <v>24</v>
      </c>
      <c r="O1323" s="3"/>
    </row>
    <row r="1324" spans="1:15">
      <c r="A1324" s="3" t="s">
        <v>15</v>
      </c>
      <c r="B1324" s="3" t="str">
        <f>"FES1162741112"</f>
        <v>FES1162741112</v>
      </c>
      <c r="C1324" s="3" t="s">
        <v>1042</v>
      </c>
      <c r="D1324" s="3">
        <v>1</v>
      </c>
      <c r="E1324" s="3" t="str">
        <f>"2170730857"</f>
        <v>2170730857</v>
      </c>
      <c r="F1324" s="3" t="s">
        <v>17</v>
      </c>
      <c r="G1324" s="3" t="s">
        <v>18</v>
      </c>
      <c r="H1324" s="3" t="s">
        <v>100</v>
      </c>
      <c r="I1324" s="3" t="s">
        <v>101</v>
      </c>
      <c r="J1324" s="3" t="s">
        <v>1296</v>
      </c>
      <c r="K1324" s="3" t="s">
        <v>1190</v>
      </c>
      <c r="L1324" s="4">
        <v>0.33819444444444446</v>
      </c>
      <c r="M1324" s="3" t="s">
        <v>1297</v>
      </c>
      <c r="N1324" s="3" t="s">
        <v>24</v>
      </c>
      <c r="O1324" s="3"/>
    </row>
    <row r="1325" spans="1:15">
      <c r="A1325" s="3" t="s">
        <v>15</v>
      </c>
      <c r="B1325" s="3" t="str">
        <f>"FES1162741098"</f>
        <v>FES1162741098</v>
      </c>
      <c r="C1325" s="3" t="s">
        <v>1042</v>
      </c>
      <c r="D1325" s="3">
        <v>1</v>
      </c>
      <c r="E1325" s="3" t="str">
        <f>"2170730430"</f>
        <v>2170730430</v>
      </c>
      <c r="F1325" s="3" t="s">
        <v>17</v>
      </c>
      <c r="G1325" s="3" t="s">
        <v>18</v>
      </c>
      <c r="H1325" s="3" t="s">
        <v>100</v>
      </c>
      <c r="I1325" s="3" t="s">
        <v>101</v>
      </c>
      <c r="J1325" s="3" t="s">
        <v>131</v>
      </c>
      <c r="K1325" s="3" t="s">
        <v>1190</v>
      </c>
      <c r="L1325" s="4">
        <v>0.36874999999999997</v>
      </c>
      <c r="M1325" s="3" t="s">
        <v>795</v>
      </c>
      <c r="N1325" s="3" t="s">
        <v>24</v>
      </c>
      <c r="O1325" s="3"/>
    </row>
    <row r="1326" spans="1:15">
      <c r="A1326" s="3" t="s">
        <v>15</v>
      </c>
      <c r="B1326" s="3" t="str">
        <f>"FES1162741028"</f>
        <v>FES1162741028</v>
      </c>
      <c r="C1326" s="3" t="s">
        <v>1042</v>
      </c>
      <c r="D1326" s="3">
        <v>1</v>
      </c>
      <c r="E1326" s="3" t="str">
        <f>"2170732692"</f>
        <v>2170732692</v>
      </c>
      <c r="F1326" s="3" t="s">
        <v>17</v>
      </c>
      <c r="G1326" s="3" t="s">
        <v>18</v>
      </c>
      <c r="H1326" s="3" t="s">
        <v>100</v>
      </c>
      <c r="I1326" s="3" t="s">
        <v>101</v>
      </c>
      <c r="J1326" s="3" t="s">
        <v>1010</v>
      </c>
      <c r="K1326" s="3" t="s">
        <v>1190</v>
      </c>
      <c r="L1326" s="4">
        <v>0.37708333333333338</v>
      </c>
      <c r="M1326" s="3" t="s">
        <v>1298</v>
      </c>
      <c r="N1326" s="3" t="s">
        <v>24</v>
      </c>
      <c r="O1326" s="3"/>
    </row>
    <row r="1327" spans="1:15">
      <c r="A1327" s="3" t="s">
        <v>15</v>
      </c>
      <c r="B1327" s="3" t="str">
        <f>"FES1162741076"</f>
        <v>FES1162741076</v>
      </c>
      <c r="C1327" s="3" t="s">
        <v>1042</v>
      </c>
      <c r="D1327" s="3">
        <v>1</v>
      </c>
      <c r="E1327" s="3" t="str">
        <f>"2170732761"</f>
        <v>2170732761</v>
      </c>
      <c r="F1327" s="3" t="s">
        <v>17</v>
      </c>
      <c r="G1327" s="3" t="s">
        <v>18</v>
      </c>
      <c r="H1327" s="3" t="s">
        <v>100</v>
      </c>
      <c r="I1327" s="3" t="s">
        <v>101</v>
      </c>
      <c r="J1327" s="3" t="s">
        <v>111</v>
      </c>
      <c r="K1327" s="3" t="s">
        <v>1190</v>
      </c>
      <c r="L1327" s="4">
        <v>0.34375</v>
      </c>
      <c r="M1327" s="3" t="s">
        <v>112</v>
      </c>
      <c r="N1327" s="3" t="s">
        <v>24</v>
      </c>
      <c r="O1327" s="3"/>
    </row>
    <row r="1328" spans="1:15">
      <c r="A1328" s="3" t="s">
        <v>15</v>
      </c>
      <c r="B1328" s="3" t="str">
        <f>"FES1162741115"</f>
        <v>FES1162741115</v>
      </c>
      <c r="C1328" s="3" t="s">
        <v>1042</v>
      </c>
      <c r="D1328" s="3">
        <v>1</v>
      </c>
      <c r="E1328" s="3" t="str">
        <f>"2170730924"</f>
        <v>2170730924</v>
      </c>
      <c r="F1328" s="3" t="s">
        <v>17</v>
      </c>
      <c r="G1328" s="3" t="s">
        <v>18</v>
      </c>
      <c r="H1328" s="3" t="s">
        <v>100</v>
      </c>
      <c r="I1328" s="3" t="s">
        <v>155</v>
      </c>
      <c r="J1328" s="3" t="s">
        <v>1299</v>
      </c>
      <c r="K1328" s="3" t="s">
        <v>1190</v>
      </c>
      <c r="L1328" s="4">
        <v>0.51041666666666663</v>
      </c>
      <c r="M1328" s="3" t="s">
        <v>1300</v>
      </c>
      <c r="N1328" s="3" t="s">
        <v>24</v>
      </c>
      <c r="O1328" s="3"/>
    </row>
    <row r="1329" spans="1:15">
      <c r="A1329" s="3" t="s">
        <v>15</v>
      </c>
      <c r="B1329" s="3" t="str">
        <f>"FES1162741197"</f>
        <v>FES1162741197</v>
      </c>
      <c r="C1329" s="3" t="s">
        <v>1042</v>
      </c>
      <c r="D1329" s="3">
        <v>1</v>
      </c>
      <c r="E1329" s="3" t="str">
        <f>"2170732818"</f>
        <v>2170732818</v>
      </c>
      <c r="F1329" s="3" t="s">
        <v>17</v>
      </c>
      <c r="G1329" s="3" t="s">
        <v>18</v>
      </c>
      <c r="H1329" s="3" t="s">
        <v>36</v>
      </c>
      <c r="I1329" s="3" t="s">
        <v>330</v>
      </c>
      <c r="J1329" s="3" t="s">
        <v>331</v>
      </c>
      <c r="K1329" s="3" t="s">
        <v>1190</v>
      </c>
      <c r="L1329" s="4">
        <v>0.41319444444444442</v>
      </c>
      <c r="M1329" s="3" t="s">
        <v>332</v>
      </c>
      <c r="N1329" s="3" t="s">
        <v>24</v>
      </c>
      <c r="O1329" s="3"/>
    </row>
    <row r="1330" spans="1:15">
      <c r="A1330" s="3" t="s">
        <v>15</v>
      </c>
      <c r="B1330" s="3" t="str">
        <f>"FES1162741130"</f>
        <v>FES1162741130</v>
      </c>
      <c r="C1330" s="3" t="s">
        <v>1042</v>
      </c>
      <c r="D1330" s="3">
        <v>1</v>
      </c>
      <c r="E1330" s="3" t="str">
        <f>"2170731741"</f>
        <v>2170731741</v>
      </c>
      <c r="F1330" s="3" t="s">
        <v>17</v>
      </c>
      <c r="G1330" s="3" t="s">
        <v>18</v>
      </c>
      <c r="H1330" s="3" t="s">
        <v>36</v>
      </c>
      <c r="I1330" s="3" t="s">
        <v>37</v>
      </c>
      <c r="J1330" s="3" t="s">
        <v>585</v>
      </c>
      <c r="K1330" s="3" t="s">
        <v>1190</v>
      </c>
      <c r="L1330" s="4">
        <v>0.40486111111111112</v>
      </c>
      <c r="M1330" s="3" t="s">
        <v>862</v>
      </c>
      <c r="N1330" s="3" t="s">
        <v>24</v>
      </c>
      <c r="O1330" s="3"/>
    </row>
    <row r="1331" spans="1:15">
      <c r="A1331" s="3" t="s">
        <v>15</v>
      </c>
      <c r="B1331" s="3" t="str">
        <f>"FES1162741117"</f>
        <v>FES1162741117</v>
      </c>
      <c r="C1331" s="3" t="s">
        <v>1042</v>
      </c>
      <c r="D1331" s="3">
        <v>1</v>
      </c>
      <c r="E1331" s="3" t="str">
        <f>"2170730940"</f>
        <v>2170730940</v>
      </c>
      <c r="F1331" s="3" t="s">
        <v>17</v>
      </c>
      <c r="G1331" s="3" t="s">
        <v>18</v>
      </c>
      <c r="H1331" s="3" t="s">
        <v>36</v>
      </c>
      <c r="I1331" s="3" t="s">
        <v>37</v>
      </c>
      <c r="J1331" s="3" t="s">
        <v>505</v>
      </c>
      <c r="K1331" s="3" t="s">
        <v>1190</v>
      </c>
      <c r="L1331" s="4">
        <v>0.3972222222222222</v>
      </c>
      <c r="M1331" s="3" t="s">
        <v>524</v>
      </c>
      <c r="N1331" s="3" t="s">
        <v>24</v>
      </c>
      <c r="O1331" s="3"/>
    </row>
    <row r="1332" spans="1:15">
      <c r="A1332" s="3" t="s">
        <v>15</v>
      </c>
      <c r="B1332" s="3" t="str">
        <f>"FES1162741123"</f>
        <v>FES1162741123</v>
      </c>
      <c r="C1332" s="3" t="s">
        <v>1042</v>
      </c>
      <c r="D1332" s="3">
        <v>1</v>
      </c>
      <c r="E1332" s="3" t="str">
        <f>"2170731188"</f>
        <v>2170731188</v>
      </c>
      <c r="F1332" s="3" t="s">
        <v>17</v>
      </c>
      <c r="G1332" s="3" t="s">
        <v>18</v>
      </c>
      <c r="H1332" s="3" t="s">
        <v>36</v>
      </c>
      <c r="I1332" s="3" t="s">
        <v>37</v>
      </c>
      <c r="J1332" s="3" t="s">
        <v>38</v>
      </c>
      <c r="K1332" s="3" t="s">
        <v>1190</v>
      </c>
      <c r="L1332" s="4">
        <v>0.37361111111111112</v>
      </c>
      <c r="M1332" s="3" t="s">
        <v>1301</v>
      </c>
      <c r="N1332" s="3" t="s">
        <v>24</v>
      </c>
      <c r="O1332" s="3"/>
    </row>
    <row r="1333" spans="1:15">
      <c r="A1333" s="3" t="s">
        <v>15</v>
      </c>
      <c r="B1333" s="3" t="str">
        <f>"FES1162741151"</f>
        <v>FES1162741151</v>
      </c>
      <c r="C1333" s="3" t="s">
        <v>1042</v>
      </c>
      <c r="D1333" s="3">
        <v>1</v>
      </c>
      <c r="E1333" s="3" t="str">
        <f>"2170725620"</f>
        <v>2170725620</v>
      </c>
      <c r="F1333" s="3" t="s">
        <v>17</v>
      </c>
      <c r="G1333" s="3" t="s">
        <v>18</v>
      </c>
      <c r="H1333" s="3" t="s">
        <v>36</v>
      </c>
      <c r="I1333" s="3" t="s">
        <v>37</v>
      </c>
      <c r="J1333" s="3" t="s">
        <v>260</v>
      </c>
      <c r="K1333" s="3" t="s">
        <v>1190</v>
      </c>
      <c r="L1333" s="4">
        <v>0.41180555555555554</v>
      </c>
      <c r="M1333" s="3" t="s">
        <v>788</v>
      </c>
      <c r="N1333" s="3" t="s">
        <v>24</v>
      </c>
      <c r="O1333" s="3"/>
    </row>
    <row r="1334" spans="1:15">
      <c r="A1334" s="3" t="s">
        <v>15</v>
      </c>
      <c r="B1334" s="3" t="str">
        <f>"FES1162741012"</f>
        <v>FES1162741012</v>
      </c>
      <c r="C1334" s="3" t="s">
        <v>1042</v>
      </c>
      <c r="D1334" s="3">
        <v>1</v>
      </c>
      <c r="E1334" s="3" t="str">
        <f>"2170732686"</f>
        <v>2170732686</v>
      </c>
      <c r="F1334" s="3" t="s">
        <v>17</v>
      </c>
      <c r="G1334" s="3" t="s">
        <v>18</v>
      </c>
      <c r="H1334" s="3" t="s">
        <v>36</v>
      </c>
      <c r="I1334" s="3" t="s">
        <v>37</v>
      </c>
      <c r="J1334" s="3" t="s">
        <v>38</v>
      </c>
      <c r="K1334" s="3" t="s">
        <v>1190</v>
      </c>
      <c r="L1334" s="4">
        <v>0.37361111111111112</v>
      </c>
      <c r="M1334" s="3" t="s">
        <v>1301</v>
      </c>
      <c r="N1334" s="3" t="s">
        <v>24</v>
      </c>
      <c r="O1334" s="3"/>
    </row>
    <row r="1335" spans="1:15">
      <c r="A1335" s="3" t="s">
        <v>15</v>
      </c>
      <c r="B1335" s="3" t="str">
        <f>"FES1162741127"</f>
        <v>FES1162741127</v>
      </c>
      <c r="C1335" s="3" t="s">
        <v>1042</v>
      </c>
      <c r="D1335" s="3">
        <v>1</v>
      </c>
      <c r="E1335" s="3" t="str">
        <f>"2170731599"</f>
        <v>2170731599</v>
      </c>
      <c r="F1335" s="3" t="s">
        <v>17</v>
      </c>
      <c r="G1335" s="3" t="s">
        <v>18</v>
      </c>
      <c r="H1335" s="3" t="s">
        <v>100</v>
      </c>
      <c r="I1335" s="3" t="s">
        <v>101</v>
      </c>
      <c r="J1335" s="3" t="s">
        <v>265</v>
      </c>
      <c r="K1335" s="3" t="s">
        <v>1190</v>
      </c>
      <c r="L1335" s="4">
        <v>0.33263888888888887</v>
      </c>
      <c r="M1335" s="3" t="s">
        <v>670</v>
      </c>
      <c r="N1335" s="3" t="s">
        <v>24</v>
      </c>
      <c r="O1335" s="3"/>
    </row>
    <row r="1336" spans="1:15">
      <c r="A1336" s="3" t="s">
        <v>15</v>
      </c>
      <c r="B1336" s="3" t="str">
        <f>"FES1162741088"</f>
        <v>FES1162741088</v>
      </c>
      <c r="C1336" s="3" t="s">
        <v>1042</v>
      </c>
      <c r="D1336" s="3">
        <v>1</v>
      </c>
      <c r="E1336" s="3" t="str">
        <f>"2170732769"</f>
        <v>2170732769</v>
      </c>
      <c r="F1336" s="3" t="s">
        <v>17</v>
      </c>
      <c r="G1336" s="3" t="s">
        <v>18</v>
      </c>
      <c r="H1336" s="3" t="s">
        <v>36</v>
      </c>
      <c r="I1336" s="3" t="s">
        <v>174</v>
      </c>
      <c r="J1336" s="3" t="s">
        <v>1302</v>
      </c>
      <c r="K1336" s="3" t="s">
        <v>1190</v>
      </c>
      <c r="L1336" s="4">
        <v>0.34375</v>
      </c>
      <c r="M1336" s="3" t="s">
        <v>1214</v>
      </c>
      <c r="N1336" s="3" t="s">
        <v>24</v>
      </c>
      <c r="O1336" s="3"/>
    </row>
    <row r="1337" spans="1:15">
      <c r="A1337" s="3" t="s">
        <v>15</v>
      </c>
      <c r="B1337" s="3" t="str">
        <f>"FES1162741044"</f>
        <v>FES1162741044</v>
      </c>
      <c r="C1337" s="3" t="s">
        <v>1042</v>
      </c>
      <c r="D1337" s="3">
        <v>1</v>
      </c>
      <c r="E1337" s="3" t="str">
        <f>"2170732716"</f>
        <v>2170732716</v>
      </c>
      <c r="F1337" s="3" t="s">
        <v>17</v>
      </c>
      <c r="G1337" s="3" t="s">
        <v>18</v>
      </c>
      <c r="H1337" s="3" t="s">
        <v>46</v>
      </c>
      <c r="I1337" s="3" t="s">
        <v>47</v>
      </c>
      <c r="J1337" s="3" t="s">
        <v>351</v>
      </c>
      <c r="K1337" s="3" t="s">
        <v>1190</v>
      </c>
      <c r="L1337" s="4">
        <v>0.35625000000000001</v>
      </c>
      <c r="M1337" s="3" t="s">
        <v>690</v>
      </c>
      <c r="N1337" s="3" t="s">
        <v>24</v>
      </c>
      <c r="O1337" s="3"/>
    </row>
    <row r="1338" spans="1:15">
      <c r="A1338" s="3" t="s">
        <v>15</v>
      </c>
      <c r="B1338" s="3" t="str">
        <f>"FES1162741135"</f>
        <v>FES1162741135</v>
      </c>
      <c r="C1338" s="3" t="s">
        <v>1042</v>
      </c>
      <c r="D1338" s="3">
        <v>1</v>
      </c>
      <c r="E1338" s="3" t="str">
        <f>"2170731965"</f>
        <v>2170731965</v>
      </c>
      <c r="F1338" s="3" t="s">
        <v>17</v>
      </c>
      <c r="G1338" s="3" t="s">
        <v>18</v>
      </c>
      <c r="H1338" s="3" t="s">
        <v>100</v>
      </c>
      <c r="I1338" s="3" t="s">
        <v>101</v>
      </c>
      <c r="J1338" s="3" t="s">
        <v>265</v>
      </c>
      <c r="K1338" s="3" t="s">
        <v>1190</v>
      </c>
      <c r="L1338" s="4">
        <v>0.33263888888888887</v>
      </c>
      <c r="M1338" s="3" t="s">
        <v>670</v>
      </c>
      <c r="N1338" s="3" t="s">
        <v>24</v>
      </c>
      <c r="O1338" s="3"/>
    </row>
    <row r="1339" spans="1:15">
      <c r="A1339" s="3" t="s">
        <v>15</v>
      </c>
      <c r="B1339" s="3" t="str">
        <f>"FES1162741133"</f>
        <v>FES1162741133</v>
      </c>
      <c r="C1339" s="3" t="s">
        <v>1042</v>
      </c>
      <c r="D1339" s="3">
        <v>1</v>
      </c>
      <c r="E1339" s="3" t="str">
        <f>"2170731859"</f>
        <v>2170731859</v>
      </c>
      <c r="F1339" s="3" t="s">
        <v>17</v>
      </c>
      <c r="G1339" s="3" t="s">
        <v>18</v>
      </c>
      <c r="H1339" s="3" t="s">
        <v>36</v>
      </c>
      <c r="I1339" s="3" t="s">
        <v>37</v>
      </c>
      <c r="J1339" s="3" t="s">
        <v>801</v>
      </c>
      <c r="K1339" s="3" t="s">
        <v>1190</v>
      </c>
      <c r="L1339" s="4">
        <v>0.38125000000000003</v>
      </c>
      <c r="M1339" s="3" t="s">
        <v>802</v>
      </c>
      <c r="N1339" s="3" t="s">
        <v>24</v>
      </c>
      <c r="O1339" s="3"/>
    </row>
    <row r="1340" spans="1:15">
      <c r="A1340" s="3" t="s">
        <v>15</v>
      </c>
      <c r="B1340" s="3" t="str">
        <f>"FES1162741035"</f>
        <v>FES1162741035</v>
      </c>
      <c r="C1340" s="3" t="s">
        <v>1042</v>
      </c>
      <c r="D1340" s="3">
        <v>1</v>
      </c>
      <c r="E1340" s="3" t="str">
        <f>"2170732702"</f>
        <v>2170732702</v>
      </c>
      <c r="F1340" s="3" t="s">
        <v>17</v>
      </c>
      <c r="G1340" s="3" t="s">
        <v>18</v>
      </c>
      <c r="H1340" s="3" t="s">
        <v>36</v>
      </c>
      <c r="I1340" s="3" t="s">
        <v>37</v>
      </c>
      <c r="J1340" s="3" t="s">
        <v>505</v>
      </c>
      <c r="K1340" s="3" t="s">
        <v>1190</v>
      </c>
      <c r="L1340" s="4">
        <v>0.3430555555555555</v>
      </c>
      <c r="M1340" s="3" t="s">
        <v>1303</v>
      </c>
      <c r="N1340" s="3" t="s">
        <v>24</v>
      </c>
      <c r="O1340" s="3"/>
    </row>
    <row r="1341" spans="1:15">
      <c r="A1341" s="3" t="s">
        <v>15</v>
      </c>
      <c r="B1341" s="3" t="str">
        <f>"FES1162741191"</f>
        <v>FES1162741191</v>
      </c>
      <c r="C1341" s="3" t="s">
        <v>1042</v>
      </c>
      <c r="D1341" s="3">
        <v>1</v>
      </c>
      <c r="E1341" s="3" t="str">
        <f>"2170732808"</f>
        <v>2170732808</v>
      </c>
      <c r="F1341" s="3" t="s">
        <v>17</v>
      </c>
      <c r="G1341" s="3" t="s">
        <v>18</v>
      </c>
      <c r="H1341" s="3" t="s">
        <v>36</v>
      </c>
      <c r="I1341" s="3" t="s">
        <v>37</v>
      </c>
      <c r="J1341" s="3" t="s">
        <v>801</v>
      </c>
      <c r="K1341" s="3" t="s">
        <v>1190</v>
      </c>
      <c r="L1341" s="4">
        <v>0.3923611111111111</v>
      </c>
      <c r="M1341" s="3" t="s">
        <v>802</v>
      </c>
      <c r="N1341" s="3" t="s">
        <v>24</v>
      </c>
      <c r="O1341" s="3"/>
    </row>
    <row r="1342" spans="1:15">
      <c r="A1342" s="5" t="s">
        <v>15</v>
      </c>
      <c r="B1342" s="5" t="str">
        <f>"FES1162741065"</f>
        <v>FES1162741065</v>
      </c>
      <c r="C1342" s="5" t="s">
        <v>1042</v>
      </c>
      <c r="D1342" s="5">
        <v>1</v>
      </c>
      <c r="E1342" s="5" t="str">
        <f>"2170732748"</f>
        <v>2170732748</v>
      </c>
      <c r="F1342" s="5" t="s">
        <v>17</v>
      </c>
      <c r="G1342" s="5" t="s">
        <v>18</v>
      </c>
      <c r="H1342" s="5" t="s">
        <v>36</v>
      </c>
      <c r="I1342" s="5" t="s">
        <v>37</v>
      </c>
      <c r="J1342" s="5" t="s">
        <v>801</v>
      </c>
      <c r="K1342" s="5" t="s">
        <v>1190</v>
      </c>
      <c r="L1342" s="6">
        <v>0.37847222222222227</v>
      </c>
      <c r="M1342" s="5" t="s">
        <v>802</v>
      </c>
      <c r="N1342" s="5" t="s">
        <v>24</v>
      </c>
      <c r="O1342" s="5"/>
    </row>
    <row r="1343" spans="1:15">
      <c r="A1343" s="5" t="s">
        <v>15</v>
      </c>
      <c r="B1343" s="5" t="str">
        <f>"FES1162741019"</f>
        <v>FES1162741019</v>
      </c>
      <c r="C1343" s="5" t="s">
        <v>1042</v>
      </c>
      <c r="D1343" s="5">
        <v>1</v>
      </c>
      <c r="E1343" s="5" t="str">
        <f>"2170731627"</f>
        <v>2170731627</v>
      </c>
      <c r="F1343" s="5" t="s">
        <v>17</v>
      </c>
      <c r="G1343" s="5" t="s">
        <v>18</v>
      </c>
      <c r="H1343" s="5" t="s">
        <v>1304</v>
      </c>
      <c r="I1343" s="5" t="s">
        <v>117</v>
      </c>
      <c r="J1343" s="5" t="s">
        <v>335</v>
      </c>
      <c r="K1343" s="5" t="s">
        <v>1190</v>
      </c>
      <c r="L1343" s="6">
        <v>0.44861111111111113</v>
      </c>
      <c r="M1343" s="5" t="s">
        <v>336</v>
      </c>
      <c r="N1343" s="5" t="s">
        <v>24</v>
      </c>
      <c r="O1343" s="5"/>
    </row>
    <row r="1344" spans="1:15">
      <c r="A1344" s="5" t="s">
        <v>15</v>
      </c>
      <c r="B1344" s="5" t="str">
        <f>"FES1162741022"</f>
        <v>FES1162741022</v>
      </c>
      <c r="C1344" s="5" t="s">
        <v>1042</v>
      </c>
      <c r="D1344" s="5">
        <v>1</v>
      </c>
      <c r="E1344" s="5" t="str">
        <f>"2170732303"</f>
        <v>2170732303</v>
      </c>
      <c r="F1344" s="5" t="s">
        <v>17</v>
      </c>
      <c r="G1344" s="5" t="s">
        <v>18</v>
      </c>
      <c r="H1344" s="5" t="s">
        <v>100</v>
      </c>
      <c r="I1344" s="5" t="s">
        <v>101</v>
      </c>
      <c r="J1344" s="5" t="s">
        <v>1115</v>
      </c>
      <c r="K1344" s="5" t="s">
        <v>1190</v>
      </c>
      <c r="L1344" s="6">
        <v>0.38472222222222219</v>
      </c>
      <c r="M1344" s="5" t="s">
        <v>558</v>
      </c>
      <c r="N1344" s="5" t="s">
        <v>24</v>
      </c>
      <c r="O1344" s="5"/>
    </row>
    <row r="1345" spans="1:15">
      <c r="A1345" s="5" t="s">
        <v>15</v>
      </c>
      <c r="B1345" s="5" t="str">
        <f>"FES1162741129"</f>
        <v>FES1162741129</v>
      </c>
      <c r="C1345" s="5" t="s">
        <v>1042</v>
      </c>
      <c r="D1345" s="5">
        <v>1</v>
      </c>
      <c r="E1345" s="5" t="str">
        <f>"2170731627"</f>
        <v>2170731627</v>
      </c>
      <c r="F1345" s="5" t="s">
        <v>17</v>
      </c>
      <c r="G1345" s="5" t="s">
        <v>18</v>
      </c>
      <c r="H1345" s="5" t="s">
        <v>1304</v>
      </c>
      <c r="I1345" s="5" t="s">
        <v>117</v>
      </c>
      <c r="J1345" s="5" t="s">
        <v>335</v>
      </c>
      <c r="K1345" s="5" t="s">
        <v>1190</v>
      </c>
      <c r="L1345" s="6">
        <v>0.44861111111111113</v>
      </c>
      <c r="M1345" s="5" t="s">
        <v>336</v>
      </c>
      <c r="N1345" s="5" t="s">
        <v>24</v>
      </c>
      <c r="O1345" s="5"/>
    </row>
    <row r="1346" spans="1:15">
      <c r="A1346" s="5" t="s">
        <v>15</v>
      </c>
      <c r="B1346" s="5" t="str">
        <f>"FES1162741029"</f>
        <v>FES1162741029</v>
      </c>
      <c r="C1346" s="5" t="s">
        <v>1042</v>
      </c>
      <c r="D1346" s="5">
        <v>1</v>
      </c>
      <c r="E1346" s="5" t="str">
        <f>"2170732693"</f>
        <v>2170732693</v>
      </c>
      <c r="F1346" s="5" t="s">
        <v>17</v>
      </c>
      <c r="G1346" s="5" t="s">
        <v>18</v>
      </c>
      <c r="H1346" s="5" t="s">
        <v>100</v>
      </c>
      <c r="I1346" s="5" t="s">
        <v>101</v>
      </c>
      <c r="J1346" s="5" t="s">
        <v>284</v>
      </c>
      <c r="K1346" s="5" t="s">
        <v>1190</v>
      </c>
      <c r="L1346" s="6">
        <v>0.41388888888888892</v>
      </c>
      <c r="M1346" s="5" t="s">
        <v>1305</v>
      </c>
      <c r="N1346" s="5" t="s">
        <v>24</v>
      </c>
      <c r="O1346" s="5"/>
    </row>
    <row r="1347" spans="1:15">
      <c r="A1347" s="5" t="s">
        <v>15</v>
      </c>
      <c r="B1347" s="5" t="str">
        <f>"FES1162741047"</f>
        <v>FES1162741047</v>
      </c>
      <c r="C1347" s="5" t="s">
        <v>1042</v>
      </c>
      <c r="D1347" s="5">
        <v>1</v>
      </c>
      <c r="E1347" s="5" t="str">
        <f>"2170732721"</f>
        <v>2170732721</v>
      </c>
      <c r="F1347" s="5" t="s">
        <v>17</v>
      </c>
      <c r="G1347" s="5" t="s">
        <v>18</v>
      </c>
      <c r="H1347" s="5" t="s">
        <v>100</v>
      </c>
      <c r="I1347" s="5" t="s">
        <v>155</v>
      </c>
      <c r="J1347" s="5" t="s">
        <v>333</v>
      </c>
      <c r="K1347" s="5" t="s">
        <v>1228</v>
      </c>
      <c r="L1347" s="6">
        <v>0.41388888888888892</v>
      </c>
      <c r="M1347" s="5" t="s">
        <v>1306</v>
      </c>
      <c r="N1347" s="5" t="s">
        <v>24</v>
      </c>
      <c r="O1347" s="5"/>
    </row>
    <row r="1348" spans="1:15">
      <c r="A1348" s="5" t="s">
        <v>15</v>
      </c>
      <c r="B1348" s="5" t="str">
        <f>"FES1162741124"</f>
        <v>FES1162741124</v>
      </c>
      <c r="C1348" s="5" t="s">
        <v>1042</v>
      </c>
      <c r="D1348" s="5">
        <v>1</v>
      </c>
      <c r="E1348" s="5" t="str">
        <f>"2170731292"</f>
        <v>2170731292</v>
      </c>
      <c r="F1348" s="5" t="s">
        <v>17</v>
      </c>
      <c r="G1348" s="5" t="s">
        <v>18</v>
      </c>
      <c r="H1348" s="5" t="s">
        <v>100</v>
      </c>
      <c r="I1348" s="5" t="s">
        <v>101</v>
      </c>
      <c r="J1348" s="5" t="s">
        <v>131</v>
      </c>
      <c r="K1348" s="5" t="s">
        <v>1190</v>
      </c>
      <c r="L1348" s="6">
        <v>0.36874999999999997</v>
      </c>
      <c r="M1348" s="5" t="s">
        <v>795</v>
      </c>
      <c r="N1348" s="5" t="s">
        <v>24</v>
      </c>
      <c r="O1348" s="5"/>
    </row>
    <row r="1349" spans="1:15">
      <c r="A1349" s="5" t="s">
        <v>15</v>
      </c>
      <c r="B1349" s="5" t="str">
        <f>"FES1162741155"</f>
        <v>FES1162741155</v>
      </c>
      <c r="C1349" s="5" t="s">
        <v>1042</v>
      </c>
      <c r="D1349" s="5">
        <v>1</v>
      </c>
      <c r="E1349" s="5" t="str">
        <f>"2170729840"</f>
        <v>2170729840</v>
      </c>
      <c r="F1349" s="5" t="s">
        <v>17</v>
      </c>
      <c r="G1349" s="5" t="s">
        <v>18</v>
      </c>
      <c r="H1349" s="5" t="s">
        <v>100</v>
      </c>
      <c r="I1349" s="5" t="s">
        <v>101</v>
      </c>
      <c r="J1349" s="5" t="s">
        <v>614</v>
      </c>
      <c r="K1349" s="5" t="s">
        <v>1190</v>
      </c>
      <c r="L1349" s="6">
        <v>0.3611111111111111</v>
      </c>
      <c r="M1349" s="5" t="s">
        <v>1307</v>
      </c>
      <c r="N1349" s="5" t="s">
        <v>24</v>
      </c>
      <c r="O1349" s="5"/>
    </row>
    <row r="1350" spans="1:15">
      <c r="A1350" s="5" t="s">
        <v>15</v>
      </c>
      <c r="B1350" s="5" t="str">
        <f>"FES1162741170"</f>
        <v>FES1162741170</v>
      </c>
      <c r="C1350" s="5" t="s">
        <v>1042</v>
      </c>
      <c r="D1350" s="5">
        <v>1</v>
      </c>
      <c r="E1350" s="5" t="str">
        <f>"2170732644"</f>
        <v>2170732644</v>
      </c>
      <c r="F1350" s="5" t="s">
        <v>17</v>
      </c>
      <c r="G1350" s="5" t="s">
        <v>18</v>
      </c>
      <c r="H1350" s="5" t="s">
        <v>46</v>
      </c>
      <c r="I1350" s="5" t="s">
        <v>47</v>
      </c>
      <c r="J1350" s="5" t="s">
        <v>161</v>
      </c>
      <c r="K1350" s="5" t="s">
        <v>1190</v>
      </c>
      <c r="L1350" s="6">
        <v>0.41666666666666669</v>
      </c>
      <c r="M1350" s="5" t="s">
        <v>1308</v>
      </c>
      <c r="N1350" s="5" t="s">
        <v>24</v>
      </c>
      <c r="O1350" s="5"/>
    </row>
    <row r="1351" spans="1:15">
      <c r="A1351" s="5" t="s">
        <v>15</v>
      </c>
      <c r="B1351" s="5" t="str">
        <f>"FES1162741146"</f>
        <v>FES1162741146</v>
      </c>
      <c r="C1351" s="5" t="s">
        <v>1042</v>
      </c>
      <c r="D1351" s="5">
        <v>1</v>
      </c>
      <c r="E1351" s="5" t="str">
        <f>"2170732780"</f>
        <v>2170732780</v>
      </c>
      <c r="F1351" s="5" t="s">
        <v>17</v>
      </c>
      <c r="G1351" s="5" t="s">
        <v>18</v>
      </c>
      <c r="H1351" s="5" t="s">
        <v>100</v>
      </c>
      <c r="I1351" s="5" t="s">
        <v>101</v>
      </c>
      <c r="J1351" s="5" t="s">
        <v>125</v>
      </c>
      <c r="K1351" s="5" t="s">
        <v>1190</v>
      </c>
      <c r="L1351" s="6">
        <v>0.2902777777777778</v>
      </c>
      <c r="M1351" s="5" t="s">
        <v>272</v>
      </c>
      <c r="N1351" s="5" t="s">
        <v>24</v>
      </c>
      <c r="O1351" s="5"/>
    </row>
    <row r="1352" spans="1:15">
      <c r="A1352" s="5" t="s">
        <v>15</v>
      </c>
      <c r="B1352" s="5" t="str">
        <f>"FES1162741015"</f>
        <v>FES1162741015</v>
      </c>
      <c r="C1352" s="5" t="s">
        <v>1042</v>
      </c>
      <c r="D1352" s="5">
        <v>1</v>
      </c>
      <c r="E1352" s="5" t="str">
        <f>"2170726442"</f>
        <v>2170726442</v>
      </c>
      <c r="F1352" s="5" t="s">
        <v>17</v>
      </c>
      <c r="G1352" s="5" t="s">
        <v>18</v>
      </c>
      <c r="H1352" s="5" t="s">
        <v>36</v>
      </c>
      <c r="I1352" s="5" t="s">
        <v>37</v>
      </c>
      <c r="J1352" s="5" t="s">
        <v>187</v>
      </c>
      <c r="K1352" s="5" t="s">
        <v>1190</v>
      </c>
      <c r="L1352" s="6">
        <v>0.33888888888888885</v>
      </c>
      <c r="M1352" s="5" t="s">
        <v>188</v>
      </c>
      <c r="N1352" s="5" t="s">
        <v>24</v>
      </c>
      <c r="O1352" s="5"/>
    </row>
    <row r="1353" spans="1:15">
      <c r="A1353" s="5" t="s">
        <v>15</v>
      </c>
      <c r="B1353" s="5" t="str">
        <f>"FES1162741024"</f>
        <v>FES1162741024</v>
      </c>
      <c r="C1353" s="5" t="s">
        <v>1042</v>
      </c>
      <c r="D1353" s="5">
        <v>1</v>
      </c>
      <c r="E1353" s="5" t="str">
        <f>"2170732526"</f>
        <v>2170732526</v>
      </c>
      <c r="F1353" s="5" t="s">
        <v>17</v>
      </c>
      <c r="G1353" s="5" t="s">
        <v>18</v>
      </c>
      <c r="H1353" s="5" t="s">
        <v>100</v>
      </c>
      <c r="I1353" s="5" t="s">
        <v>117</v>
      </c>
      <c r="J1353" s="5" t="s">
        <v>784</v>
      </c>
      <c r="K1353" s="5" t="s">
        <v>1190</v>
      </c>
      <c r="L1353" s="6">
        <v>0.45555555555555555</v>
      </c>
      <c r="M1353" s="5" t="s">
        <v>785</v>
      </c>
      <c r="N1353" s="5" t="s">
        <v>24</v>
      </c>
      <c r="O1353" s="5"/>
    </row>
    <row r="1354" spans="1:15">
      <c r="A1354" s="5" t="s">
        <v>15</v>
      </c>
      <c r="B1354" s="5" t="str">
        <f>"FES1162741077"</f>
        <v>FES1162741077</v>
      </c>
      <c r="C1354" s="5" t="s">
        <v>1042</v>
      </c>
      <c r="D1354" s="5">
        <v>1</v>
      </c>
      <c r="E1354" s="5" t="str">
        <f>"2170732762"</f>
        <v>2170732762</v>
      </c>
      <c r="F1354" s="5" t="s">
        <v>17</v>
      </c>
      <c r="G1354" s="5" t="s">
        <v>18</v>
      </c>
      <c r="H1354" s="5" t="s">
        <v>100</v>
      </c>
      <c r="I1354" s="5" t="s">
        <v>262</v>
      </c>
      <c r="J1354" s="5" t="s">
        <v>409</v>
      </c>
      <c r="K1354" s="5" t="s">
        <v>1228</v>
      </c>
      <c r="L1354" s="6">
        <v>0.45555555555555555</v>
      </c>
      <c r="M1354" s="5" t="s">
        <v>1309</v>
      </c>
      <c r="N1354" s="5" t="s">
        <v>24</v>
      </c>
      <c r="O1354" s="5"/>
    </row>
    <row r="1355" spans="1:15">
      <c r="A1355" s="5" t="s">
        <v>15</v>
      </c>
      <c r="B1355" s="5" t="str">
        <f>"FES1162741176"</f>
        <v>FES1162741176</v>
      </c>
      <c r="C1355" s="5" t="s">
        <v>1042</v>
      </c>
      <c r="D1355" s="5">
        <v>1</v>
      </c>
      <c r="E1355" s="5" t="str">
        <f>"2170730578"</f>
        <v>2170730578</v>
      </c>
      <c r="F1355" s="5" t="s">
        <v>17</v>
      </c>
      <c r="G1355" s="5" t="s">
        <v>18</v>
      </c>
      <c r="H1355" s="5" t="s">
        <v>19</v>
      </c>
      <c r="I1355" s="5" t="s">
        <v>20</v>
      </c>
      <c r="J1355" s="5" t="s">
        <v>56</v>
      </c>
      <c r="K1355" s="5" t="s">
        <v>1190</v>
      </c>
      <c r="L1355" s="6">
        <v>0.37013888888888885</v>
      </c>
      <c r="M1355" s="5" t="s">
        <v>259</v>
      </c>
      <c r="N1355" s="5" t="s">
        <v>24</v>
      </c>
      <c r="O1355" s="5"/>
    </row>
    <row r="1356" spans="1:15">
      <c r="A1356" s="5" t="s">
        <v>15</v>
      </c>
      <c r="B1356" s="5" t="str">
        <f>"FES1162741110"</f>
        <v>FES1162741110</v>
      </c>
      <c r="C1356" s="5" t="s">
        <v>1042</v>
      </c>
      <c r="D1356" s="5">
        <v>1</v>
      </c>
      <c r="E1356" s="5" t="str">
        <f>"2170730845"</f>
        <v>2170730845</v>
      </c>
      <c r="F1356" s="5" t="s">
        <v>17</v>
      </c>
      <c r="G1356" s="5" t="s">
        <v>18</v>
      </c>
      <c r="H1356" s="5" t="s">
        <v>70</v>
      </c>
      <c r="I1356" s="5" t="s">
        <v>71</v>
      </c>
      <c r="J1356" s="5" t="s">
        <v>441</v>
      </c>
      <c r="K1356" s="5" t="s">
        <v>1190</v>
      </c>
      <c r="L1356" s="6">
        <v>0.54861111111111105</v>
      </c>
      <c r="M1356" s="5" t="s">
        <v>782</v>
      </c>
      <c r="N1356" s="5" t="s">
        <v>24</v>
      </c>
      <c r="O1356" s="5"/>
    </row>
    <row r="1357" spans="1:15">
      <c r="A1357" s="5" t="s">
        <v>15</v>
      </c>
      <c r="B1357" s="5" t="str">
        <f>"FES1162741033"</f>
        <v>FES1162741033</v>
      </c>
      <c r="C1357" s="5" t="s">
        <v>1042</v>
      </c>
      <c r="D1357" s="5">
        <v>1</v>
      </c>
      <c r="E1357" s="5" t="str">
        <f>"2170732700"</f>
        <v>2170732700</v>
      </c>
      <c r="F1357" s="5" t="s">
        <v>17</v>
      </c>
      <c r="G1357" s="5" t="s">
        <v>18</v>
      </c>
      <c r="H1357" s="5" t="s">
        <v>19</v>
      </c>
      <c r="I1357" s="5" t="s">
        <v>51</v>
      </c>
      <c r="J1357" s="5" t="s">
        <v>52</v>
      </c>
      <c r="K1357" s="5" t="s">
        <v>1190</v>
      </c>
      <c r="L1357" s="6">
        <v>0.32916666666666666</v>
      </c>
      <c r="M1357" s="5" t="s">
        <v>53</v>
      </c>
      <c r="N1357" s="5" t="s">
        <v>24</v>
      </c>
      <c r="O1357" s="5"/>
    </row>
    <row r="1358" spans="1:15">
      <c r="A1358" s="5" t="s">
        <v>15</v>
      </c>
      <c r="B1358" s="5" t="str">
        <f>"FES1162741052"</f>
        <v>FES1162741052</v>
      </c>
      <c r="C1358" s="5" t="s">
        <v>1042</v>
      </c>
      <c r="D1358" s="5">
        <v>1</v>
      </c>
      <c r="E1358" s="5" t="str">
        <f>"2170732733"</f>
        <v>2170732733</v>
      </c>
      <c r="F1358" s="5" t="s">
        <v>17</v>
      </c>
      <c r="G1358" s="5" t="s">
        <v>18</v>
      </c>
      <c r="H1358" s="5" t="s">
        <v>19</v>
      </c>
      <c r="I1358" s="5" t="s">
        <v>20</v>
      </c>
      <c r="J1358" s="5" t="s">
        <v>1141</v>
      </c>
      <c r="K1358" s="5" t="s">
        <v>1190</v>
      </c>
      <c r="L1358" s="6">
        <v>0.4291666666666667</v>
      </c>
      <c r="M1358" s="5" t="s">
        <v>1310</v>
      </c>
      <c r="N1358" s="5" t="s">
        <v>24</v>
      </c>
      <c r="O1358" s="5"/>
    </row>
    <row r="1359" spans="1:15">
      <c r="A1359" s="5" t="s">
        <v>15</v>
      </c>
      <c r="B1359" s="5" t="str">
        <f>"FES1162741025"</f>
        <v>FES1162741025</v>
      </c>
      <c r="C1359" s="5" t="s">
        <v>1042</v>
      </c>
      <c r="D1359" s="5">
        <v>1</v>
      </c>
      <c r="E1359" s="5" t="str">
        <f>"2170732587"</f>
        <v>2170732587</v>
      </c>
      <c r="F1359" s="5" t="s">
        <v>17</v>
      </c>
      <c r="G1359" s="5" t="s">
        <v>18</v>
      </c>
      <c r="H1359" s="5" t="s">
        <v>19</v>
      </c>
      <c r="I1359" s="5" t="s">
        <v>51</v>
      </c>
      <c r="J1359" s="5" t="s">
        <v>1311</v>
      </c>
      <c r="K1359" s="5" t="s">
        <v>1190</v>
      </c>
      <c r="L1359" s="6">
        <v>0.41111111111111115</v>
      </c>
      <c r="M1359" s="5" t="s">
        <v>1312</v>
      </c>
      <c r="N1359" s="5" t="s">
        <v>24</v>
      </c>
      <c r="O1359" s="5"/>
    </row>
    <row r="1360" spans="1:15">
      <c r="A1360" s="5" t="s">
        <v>15</v>
      </c>
      <c r="B1360" s="5" t="str">
        <f>"FES1162741036"</f>
        <v>FES1162741036</v>
      </c>
      <c r="C1360" s="5" t="s">
        <v>1042</v>
      </c>
      <c r="D1360" s="5">
        <v>1</v>
      </c>
      <c r="E1360" s="5" t="str">
        <f>"2170731798"</f>
        <v>2170731798</v>
      </c>
      <c r="F1360" s="5" t="s">
        <v>17</v>
      </c>
      <c r="G1360" s="5" t="s">
        <v>18</v>
      </c>
      <c r="H1360" s="5" t="s">
        <v>18</v>
      </c>
      <c r="I1360" s="5" t="s">
        <v>291</v>
      </c>
      <c r="J1360" s="5" t="s">
        <v>1313</v>
      </c>
      <c r="K1360" s="5" t="s">
        <v>1228</v>
      </c>
      <c r="L1360" s="6">
        <v>0.41111111111111115</v>
      </c>
      <c r="M1360" s="5" t="s">
        <v>1314</v>
      </c>
      <c r="N1360" s="5" t="s">
        <v>24</v>
      </c>
      <c r="O1360" s="5" t="s">
        <v>1315</v>
      </c>
    </row>
    <row r="1361" spans="1:15">
      <c r="A1361" s="5" t="s">
        <v>15</v>
      </c>
      <c r="B1361" s="5" t="str">
        <f>"FES1162741023"</f>
        <v>FES1162741023</v>
      </c>
      <c r="C1361" s="5" t="s">
        <v>1042</v>
      </c>
      <c r="D1361" s="5">
        <v>1</v>
      </c>
      <c r="E1361" s="5" t="str">
        <f>"2170732442"</f>
        <v>2170732442</v>
      </c>
      <c r="F1361" s="5" t="s">
        <v>17</v>
      </c>
      <c r="G1361" s="5" t="s">
        <v>18</v>
      </c>
      <c r="H1361" s="5" t="s">
        <v>18</v>
      </c>
      <c r="I1361" s="5" t="s">
        <v>171</v>
      </c>
      <c r="J1361" s="5" t="s">
        <v>574</v>
      </c>
      <c r="K1361" s="5" t="s">
        <v>1190</v>
      </c>
      <c r="L1361" s="6">
        <v>0.34375</v>
      </c>
      <c r="M1361" s="5" t="s">
        <v>1129</v>
      </c>
      <c r="N1361" s="5" t="s">
        <v>24</v>
      </c>
      <c r="O1361" s="5"/>
    </row>
    <row r="1362" spans="1:15">
      <c r="A1362" s="5" t="s">
        <v>15</v>
      </c>
      <c r="B1362" s="5" t="str">
        <f>"FES1162741008"</f>
        <v>FES1162741008</v>
      </c>
      <c r="C1362" s="5" t="s">
        <v>1042</v>
      </c>
      <c r="D1362" s="5">
        <v>1</v>
      </c>
      <c r="E1362" s="5" t="str">
        <f>"2170732683"</f>
        <v>2170732683</v>
      </c>
      <c r="F1362" s="5" t="s">
        <v>17</v>
      </c>
      <c r="G1362" s="5" t="s">
        <v>18</v>
      </c>
      <c r="H1362" s="5" t="s">
        <v>18</v>
      </c>
      <c r="I1362" s="5" t="s">
        <v>29</v>
      </c>
      <c r="J1362" s="5" t="s">
        <v>1316</v>
      </c>
      <c r="K1362" s="5" t="s">
        <v>1190</v>
      </c>
      <c r="L1362" s="6">
        <v>0.3888888888888889</v>
      </c>
      <c r="M1362" s="5" t="s">
        <v>1317</v>
      </c>
      <c r="N1362" s="5" t="s">
        <v>24</v>
      </c>
      <c r="O1362" s="5"/>
    </row>
    <row r="1363" spans="1:15">
      <c r="A1363" s="5" t="s">
        <v>15</v>
      </c>
      <c r="B1363" s="5" t="str">
        <f>"FES1162741160"</f>
        <v>FES1162741160</v>
      </c>
      <c r="C1363" s="5" t="s">
        <v>1042</v>
      </c>
      <c r="D1363" s="5">
        <v>1</v>
      </c>
      <c r="E1363" s="5" t="str">
        <f>"2170730805"</f>
        <v>2170730805</v>
      </c>
      <c r="F1363" s="5" t="s">
        <v>17</v>
      </c>
      <c r="G1363" s="5" t="s">
        <v>18</v>
      </c>
      <c r="H1363" s="5" t="s">
        <v>66</v>
      </c>
      <c r="I1363" s="5" t="s">
        <v>67</v>
      </c>
      <c r="J1363" s="5" t="s">
        <v>1318</v>
      </c>
      <c r="K1363" s="5" t="s">
        <v>1190</v>
      </c>
      <c r="L1363" s="6">
        <v>0.41111111111111115</v>
      </c>
      <c r="M1363" s="5" t="s">
        <v>1136</v>
      </c>
      <c r="N1363" s="5" t="s">
        <v>24</v>
      </c>
      <c r="O1363" s="5"/>
    </row>
    <row r="1364" spans="1:15">
      <c r="A1364" s="3" t="s">
        <v>15</v>
      </c>
      <c r="B1364" s="3" t="str">
        <f>"FES1162741111"</f>
        <v>FES1162741111</v>
      </c>
      <c r="C1364" s="3" t="s">
        <v>1042</v>
      </c>
      <c r="D1364" s="3">
        <v>1</v>
      </c>
      <c r="E1364" s="3" t="str">
        <f>"2170730846"</f>
        <v>2170730846</v>
      </c>
      <c r="F1364" s="3" t="s">
        <v>17</v>
      </c>
      <c r="G1364" s="3" t="s">
        <v>18</v>
      </c>
      <c r="H1364" s="3" t="s">
        <v>18</v>
      </c>
      <c r="I1364" s="3" t="s">
        <v>341</v>
      </c>
      <c r="J1364" s="3" t="s">
        <v>342</v>
      </c>
      <c r="K1364" s="3" t="s">
        <v>1190</v>
      </c>
      <c r="L1364" s="4">
        <v>0.40416666666666662</v>
      </c>
      <c r="M1364" s="3" t="s">
        <v>200</v>
      </c>
      <c r="N1364" s="3" t="s">
        <v>24</v>
      </c>
      <c r="O1364" s="3"/>
    </row>
    <row r="1365" spans="1:15">
      <c r="A1365" s="3" t="s">
        <v>15</v>
      </c>
      <c r="B1365" s="3" t="str">
        <f>"FES1162741189"</f>
        <v>FES1162741189</v>
      </c>
      <c r="C1365" s="3" t="s">
        <v>1042</v>
      </c>
      <c r="D1365" s="3">
        <v>1</v>
      </c>
      <c r="E1365" s="3" t="str">
        <f>"2170732806"</f>
        <v>2170732806</v>
      </c>
      <c r="F1365" s="3" t="s">
        <v>17</v>
      </c>
      <c r="G1365" s="3" t="s">
        <v>18</v>
      </c>
      <c r="H1365" s="3" t="s">
        <v>18</v>
      </c>
      <c r="I1365" s="3" t="s">
        <v>33</v>
      </c>
      <c r="J1365" s="3" t="s">
        <v>34</v>
      </c>
      <c r="K1365" s="3" t="s">
        <v>1190</v>
      </c>
      <c r="L1365" s="4">
        <v>0.4069444444444445</v>
      </c>
      <c r="M1365" s="3" t="s">
        <v>945</v>
      </c>
      <c r="N1365" s="3" t="s">
        <v>24</v>
      </c>
      <c r="O1365" s="3"/>
    </row>
    <row r="1366" spans="1:15">
      <c r="A1366" s="3" t="s">
        <v>15</v>
      </c>
      <c r="B1366" s="3" t="str">
        <f>"FES1162741092"</f>
        <v>FES1162741092</v>
      </c>
      <c r="C1366" s="3" t="s">
        <v>1042</v>
      </c>
      <c r="D1366" s="3">
        <v>1</v>
      </c>
      <c r="E1366" s="3" t="str">
        <f>"23170732774"</f>
        <v>23170732774</v>
      </c>
      <c r="F1366" s="3" t="s">
        <v>17</v>
      </c>
      <c r="G1366" s="3" t="s">
        <v>18</v>
      </c>
      <c r="H1366" s="3" t="s">
        <v>18</v>
      </c>
      <c r="I1366" s="3" t="s">
        <v>29</v>
      </c>
      <c r="J1366" s="3" t="s">
        <v>1319</v>
      </c>
      <c r="K1366" s="3" t="s">
        <v>1190</v>
      </c>
      <c r="L1366" s="4">
        <v>0.42083333333333334</v>
      </c>
      <c r="M1366" s="3" t="s">
        <v>1320</v>
      </c>
      <c r="N1366" s="3" t="s">
        <v>24</v>
      </c>
      <c r="O1366" s="3"/>
    </row>
    <row r="1367" spans="1:15">
      <c r="A1367" s="3" t="s">
        <v>15</v>
      </c>
      <c r="B1367" s="3" t="str">
        <f>"FES1162741136"</f>
        <v>FES1162741136</v>
      </c>
      <c r="C1367" s="3" t="s">
        <v>1042</v>
      </c>
      <c r="D1367" s="3">
        <v>1</v>
      </c>
      <c r="E1367" s="3" t="str">
        <f>"2170733278"</f>
        <v>2170733278</v>
      </c>
      <c r="F1367" s="3" t="s">
        <v>17</v>
      </c>
      <c r="G1367" s="3" t="s">
        <v>18</v>
      </c>
      <c r="H1367" s="3" t="s">
        <v>18</v>
      </c>
      <c r="I1367" s="3" t="s">
        <v>338</v>
      </c>
      <c r="J1367" s="3" t="s">
        <v>199</v>
      </c>
      <c r="K1367" s="3" t="s">
        <v>1190</v>
      </c>
      <c r="L1367" s="4">
        <v>0.35972222222222222</v>
      </c>
      <c r="M1367" s="3" t="s">
        <v>1321</v>
      </c>
      <c r="N1367" s="3" t="s">
        <v>24</v>
      </c>
      <c r="O1367" s="3"/>
    </row>
    <row r="1368" spans="1:15">
      <c r="A1368" s="3" t="s">
        <v>15</v>
      </c>
      <c r="B1368" s="3" t="str">
        <f>"FES1162741089"</f>
        <v>FES1162741089</v>
      </c>
      <c r="C1368" s="3" t="s">
        <v>1042</v>
      </c>
      <c r="D1368" s="3">
        <v>1</v>
      </c>
      <c r="E1368" s="3" t="str">
        <f>"2170732770"</f>
        <v>2170732770</v>
      </c>
      <c r="F1368" s="3" t="s">
        <v>17</v>
      </c>
      <c r="G1368" s="3" t="s">
        <v>18</v>
      </c>
      <c r="H1368" s="3" t="s">
        <v>18</v>
      </c>
      <c r="I1368" s="3" t="s">
        <v>222</v>
      </c>
      <c r="J1368" s="3" t="s">
        <v>1322</v>
      </c>
      <c r="K1368" s="3" t="s">
        <v>1190</v>
      </c>
      <c r="L1368" s="4">
        <v>0.33333333333333331</v>
      </c>
      <c r="M1368" s="3" t="s">
        <v>1323</v>
      </c>
      <c r="N1368" s="3" t="s">
        <v>24</v>
      </c>
      <c r="O1368" s="3"/>
    </row>
    <row r="1369" spans="1:15">
      <c r="A1369" s="3" t="s">
        <v>15</v>
      </c>
      <c r="B1369" s="3" t="str">
        <f>"FES1162741021"</f>
        <v>FES1162741021</v>
      </c>
      <c r="C1369" s="3" t="s">
        <v>1042</v>
      </c>
      <c r="D1369" s="3">
        <v>1</v>
      </c>
      <c r="E1369" s="3" t="str">
        <f>"2170732171"</f>
        <v>2170732171</v>
      </c>
      <c r="F1369" s="3" t="s">
        <v>17</v>
      </c>
      <c r="G1369" s="3" t="s">
        <v>18</v>
      </c>
      <c r="H1369" s="3" t="s">
        <v>18</v>
      </c>
      <c r="I1369" s="3" t="s">
        <v>341</v>
      </c>
      <c r="J1369" s="3" t="s">
        <v>923</v>
      </c>
      <c r="K1369" s="3" t="s">
        <v>1190</v>
      </c>
      <c r="L1369" s="4">
        <v>0.33333333333333331</v>
      </c>
      <c r="M1369" s="3" t="s">
        <v>200</v>
      </c>
      <c r="N1369" s="3" t="s">
        <v>24</v>
      </c>
      <c r="O1369" s="3"/>
    </row>
    <row r="1370" spans="1:15">
      <c r="A1370" s="3" t="s">
        <v>15</v>
      </c>
      <c r="B1370" s="3" t="str">
        <f>"FES1162741156"</f>
        <v>FES1162741156</v>
      </c>
      <c r="C1370" s="3" t="s">
        <v>1042</v>
      </c>
      <c r="D1370" s="3">
        <v>1</v>
      </c>
      <c r="E1370" s="3" t="str">
        <f>"2170730580"</f>
        <v>2170730580</v>
      </c>
      <c r="F1370" s="3" t="s">
        <v>17</v>
      </c>
      <c r="G1370" s="3" t="s">
        <v>18</v>
      </c>
      <c r="H1370" s="3" t="s">
        <v>19</v>
      </c>
      <c r="I1370" s="3" t="s">
        <v>20</v>
      </c>
      <c r="J1370" s="3" t="s">
        <v>44</v>
      </c>
      <c r="K1370" s="3" t="s">
        <v>1190</v>
      </c>
      <c r="L1370" s="4">
        <v>0.4291666666666667</v>
      </c>
      <c r="M1370" s="3" t="s">
        <v>45</v>
      </c>
      <c r="N1370" s="3" t="s">
        <v>24</v>
      </c>
      <c r="O1370" s="3"/>
    </row>
    <row r="1371" spans="1:15">
      <c r="A1371" s="3" t="s">
        <v>15</v>
      </c>
      <c r="B1371" s="3" t="str">
        <f>"FES1162741121"</f>
        <v>FES1162741121</v>
      </c>
      <c r="C1371" s="3" t="s">
        <v>1042</v>
      </c>
      <c r="D1371" s="3">
        <v>1</v>
      </c>
      <c r="E1371" s="3" t="str">
        <f>"2170731042"</f>
        <v>2170731042</v>
      </c>
      <c r="F1371" s="3" t="s">
        <v>17</v>
      </c>
      <c r="G1371" s="3" t="s">
        <v>18</v>
      </c>
      <c r="H1371" s="3" t="s">
        <v>19</v>
      </c>
      <c r="I1371" s="3" t="s">
        <v>20</v>
      </c>
      <c r="J1371" s="3" t="s">
        <v>420</v>
      </c>
      <c r="K1371" s="3" t="s">
        <v>1190</v>
      </c>
      <c r="L1371" s="4">
        <v>0.35347222222222219</v>
      </c>
      <c r="M1371" s="3" t="s">
        <v>1324</v>
      </c>
      <c r="N1371" s="3" t="s">
        <v>24</v>
      </c>
      <c r="O1371" s="3"/>
    </row>
    <row r="1372" spans="1:15">
      <c r="A1372" s="3" t="s">
        <v>15</v>
      </c>
      <c r="B1372" s="3" t="str">
        <f>"FES1162741094"</f>
        <v>FES1162741094</v>
      </c>
      <c r="C1372" s="3" t="s">
        <v>1042</v>
      </c>
      <c r="D1372" s="3">
        <v>1</v>
      </c>
      <c r="E1372" s="3" t="str">
        <f>"2170730807"</f>
        <v>2170730807</v>
      </c>
      <c r="F1372" s="3" t="s">
        <v>17</v>
      </c>
      <c r="G1372" s="3" t="s">
        <v>18</v>
      </c>
      <c r="H1372" s="3" t="s">
        <v>70</v>
      </c>
      <c r="I1372" s="3" t="s">
        <v>71</v>
      </c>
      <c r="J1372" s="3" t="s">
        <v>1325</v>
      </c>
      <c r="K1372" s="3" t="s">
        <v>1190</v>
      </c>
      <c r="L1372" s="4">
        <v>0.41597222222222219</v>
      </c>
      <c r="M1372" s="3" t="s">
        <v>1326</v>
      </c>
      <c r="N1372" s="3" t="s">
        <v>24</v>
      </c>
      <c r="O1372" s="3"/>
    </row>
    <row r="1373" spans="1:15">
      <c r="A1373" s="3" t="s">
        <v>15</v>
      </c>
      <c r="B1373" s="3" t="str">
        <f>"FES1162741164"</f>
        <v>FES1162741164</v>
      </c>
      <c r="C1373" s="3" t="s">
        <v>1042</v>
      </c>
      <c r="D1373" s="3">
        <v>1</v>
      </c>
      <c r="E1373" s="3" t="str">
        <f>"2170732784"</f>
        <v>2170732784</v>
      </c>
      <c r="F1373" s="3" t="s">
        <v>17</v>
      </c>
      <c r="G1373" s="3" t="s">
        <v>18</v>
      </c>
      <c r="H1373" s="3" t="s">
        <v>19</v>
      </c>
      <c r="I1373" s="3" t="s">
        <v>20</v>
      </c>
      <c r="J1373" s="3" t="s">
        <v>56</v>
      </c>
      <c r="K1373" s="3" t="s">
        <v>1190</v>
      </c>
      <c r="L1373" s="4">
        <v>0.37013888888888885</v>
      </c>
      <c r="M1373" s="3" t="s">
        <v>259</v>
      </c>
      <c r="N1373" s="3" t="s">
        <v>24</v>
      </c>
      <c r="O1373" s="3"/>
    </row>
    <row r="1374" spans="1:15">
      <c r="A1374" s="3" t="s">
        <v>15</v>
      </c>
      <c r="B1374" s="3" t="str">
        <f>"FES1162741142"</f>
        <v>FES1162741142</v>
      </c>
      <c r="C1374" s="3" t="s">
        <v>1042</v>
      </c>
      <c r="D1374" s="3">
        <v>1</v>
      </c>
      <c r="E1374" s="3" t="str">
        <f>"2170732591"</f>
        <v>2170732591</v>
      </c>
      <c r="F1374" s="3" t="s">
        <v>17</v>
      </c>
      <c r="G1374" s="3" t="s">
        <v>18</v>
      </c>
      <c r="H1374" s="3" t="s">
        <v>19</v>
      </c>
      <c r="I1374" s="3" t="s">
        <v>1241</v>
      </c>
      <c r="J1374" s="3" t="s">
        <v>1242</v>
      </c>
      <c r="K1374" s="3" t="s">
        <v>1190</v>
      </c>
      <c r="L1374" s="4">
        <v>0.70763888888888893</v>
      </c>
      <c r="M1374" s="3" t="s">
        <v>1243</v>
      </c>
      <c r="N1374" s="3" t="s">
        <v>24</v>
      </c>
      <c r="O1374" s="3"/>
    </row>
    <row r="1375" spans="1:15">
      <c r="A1375" s="3" t="s">
        <v>15</v>
      </c>
      <c r="B1375" s="3" t="str">
        <f>"FES1162741071"</f>
        <v>FES1162741071</v>
      </c>
      <c r="C1375" s="3" t="s">
        <v>1042</v>
      </c>
      <c r="D1375" s="3">
        <v>1</v>
      </c>
      <c r="E1375" s="3" t="str">
        <f>"2170732752"</f>
        <v>2170732752</v>
      </c>
      <c r="F1375" s="3" t="s">
        <v>17</v>
      </c>
      <c r="G1375" s="3" t="s">
        <v>18</v>
      </c>
      <c r="H1375" s="3" t="s">
        <v>19</v>
      </c>
      <c r="I1375" s="3" t="s">
        <v>277</v>
      </c>
      <c r="J1375" s="3" t="s">
        <v>278</v>
      </c>
      <c r="K1375" s="3" t="s">
        <v>1190</v>
      </c>
      <c r="L1375" s="4">
        <v>0.4236111111111111</v>
      </c>
      <c r="M1375" s="3" t="s">
        <v>279</v>
      </c>
      <c r="N1375" s="3" t="s">
        <v>24</v>
      </c>
      <c r="O1375" s="3"/>
    </row>
    <row r="1376" spans="1:15">
      <c r="A1376" s="3" t="s">
        <v>15</v>
      </c>
      <c r="B1376" s="3" t="str">
        <f>"FES1162741140"</f>
        <v>FES1162741140</v>
      </c>
      <c r="C1376" s="3" t="s">
        <v>1042</v>
      </c>
      <c r="D1376" s="3">
        <v>1</v>
      </c>
      <c r="E1376" s="3" t="str">
        <f>"2170732469"</f>
        <v>2170732469</v>
      </c>
      <c r="F1376" s="3" t="s">
        <v>17</v>
      </c>
      <c r="G1376" s="3" t="s">
        <v>18</v>
      </c>
      <c r="H1376" s="3" t="s">
        <v>19</v>
      </c>
      <c r="I1376" s="3" t="s">
        <v>277</v>
      </c>
      <c r="J1376" s="3" t="s">
        <v>278</v>
      </c>
      <c r="K1376" s="3" t="s">
        <v>1190</v>
      </c>
      <c r="L1376" s="4">
        <v>0.4236111111111111</v>
      </c>
      <c r="M1376" s="3" t="s">
        <v>279</v>
      </c>
      <c r="N1376" s="3" t="s">
        <v>24</v>
      </c>
      <c r="O1376" s="3"/>
    </row>
    <row r="1377" spans="1:15">
      <c r="A1377" s="3" t="s">
        <v>15</v>
      </c>
      <c r="B1377" s="3" t="str">
        <f>"FES1162741226"</f>
        <v>FES1162741226</v>
      </c>
      <c r="C1377" s="3" t="s">
        <v>1042</v>
      </c>
      <c r="D1377" s="3">
        <v>1</v>
      </c>
      <c r="E1377" s="3" t="str">
        <f>"2170732849"</f>
        <v>2170732849</v>
      </c>
      <c r="F1377" s="3" t="s">
        <v>17</v>
      </c>
      <c r="G1377" s="3" t="s">
        <v>18</v>
      </c>
      <c r="H1377" s="3" t="s">
        <v>36</v>
      </c>
      <c r="I1377" s="3" t="s">
        <v>330</v>
      </c>
      <c r="J1377" s="3" t="s">
        <v>934</v>
      </c>
      <c r="K1377" s="3" t="s">
        <v>1190</v>
      </c>
      <c r="L1377" s="4">
        <v>0.42083333333333334</v>
      </c>
      <c r="M1377" s="3" t="s">
        <v>878</v>
      </c>
      <c r="N1377" s="3" t="s">
        <v>24</v>
      </c>
      <c r="O1377" s="3"/>
    </row>
    <row r="1378" spans="1:15">
      <c r="A1378" s="5" t="s">
        <v>15</v>
      </c>
      <c r="B1378" s="5" t="str">
        <f>"FES1162741091"</f>
        <v>FES1162741091</v>
      </c>
      <c r="C1378" s="5" t="s">
        <v>1042</v>
      </c>
      <c r="D1378" s="5">
        <v>1</v>
      </c>
      <c r="E1378" s="5" t="str">
        <f>"2170732773"</f>
        <v>2170732773</v>
      </c>
      <c r="F1378" s="5" t="s">
        <v>17</v>
      </c>
      <c r="G1378" s="5" t="s">
        <v>18</v>
      </c>
      <c r="H1378" s="5" t="s">
        <v>66</v>
      </c>
      <c r="I1378" s="5" t="s">
        <v>67</v>
      </c>
      <c r="J1378" s="5" t="s">
        <v>1327</v>
      </c>
      <c r="K1378" s="5" t="s">
        <v>1190</v>
      </c>
      <c r="L1378" s="6">
        <v>0.38541666666666669</v>
      </c>
      <c r="M1378" s="5" t="s">
        <v>1328</v>
      </c>
      <c r="N1378" s="5" t="s">
        <v>24</v>
      </c>
      <c r="O1378" s="5"/>
    </row>
    <row r="1379" spans="1:15">
      <c r="A1379" s="5" t="s">
        <v>15</v>
      </c>
      <c r="B1379" s="5" t="str">
        <f>"FES1162741034"</f>
        <v>FES1162741034</v>
      </c>
      <c r="C1379" s="5" t="s">
        <v>1042</v>
      </c>
      <c r="D1379" s="5">
        <v>1</v>
      </c>
      <c r="E1379" s="5" t="str">
        <f>"2170732701"</f>
        <v>2170732701</v>
      </c>
      <c r="F1379" s="5" t="s">
        <v>17</v>
      </c>
      <c r="G1379" s="5" t="s">
        <v>18</v>
      </c>
      <c r="H1379" s="5" t="s">
        <v>66</v>
      </c>
      <c r="I1379" s="5" t="s">
        <v>67</v>
      </c>
      <c r="J1379" s="5" t="s">
        <v>325</v>
      </c>
      <c r="K1379" s="5" t="s">
        <v>1190</v>
      </c>
      <c r="L1379" s="6">
        <v>0.2986111111111111</v>
      </c>
      <c r="M1379" s="5" t="s">
        <v>1329</v>
      </c>
      <c r="N1379" s="5" t="s">
        <v>24</v>
      </c>
      <c r="O1379" s="5"/>
    </row>
    <row r="1380" spans="1:15">
      <c r="A1380" s="5" t="s">
        <v>15</v>
      </c>
      <c r="B1380" s="5" t="str">
        <f>"FES1162741020"</f>
        <v>FES1162741020</v>
      </c>
      <c r="C1380" s="5" t="s">
        <v>1042</v>
      </c>
      <c r="D1380" s="5">
        <v>1</v>
      </c>
      <c r="E1380" s="5" t="str">
        <f>"2170731696"</f>
        <v>2170731696</v>
      </c>
      <c r="F1380" s="5" t="s">
        <v>17</v>
      </c>
      <c r="G1380" s="5" t="s">
        <v>18</v>
      </c>
      <c r="H1380" s="5" t="s">
        <v>66</v>
      </c>
      <c r="I1380" s="5" t="s">
        <v>67</v>
      </c>
      <c r="J1380" s="5" t="s">
        <v>1330</v>
      </c>
      <c r="K1380" s="5" t="s">
        <v>1190</v>
      </c>
      <c r="L1380" s="6">
        <v>0.38541666666666669</v>
      </c>
      <c r="M1380" s="5" t="s">
        <v>1331</v>
      </c>
      <c r="N1380" s="5" t="s">
        <v>24</v>
      </c>
      <c r="O1380" s="5"/>
    </row>
    <row r="1381" spans="1:15">
      <c r="A1381" s="5" t="s">
        <v>15</v>
      </c>
      <c r="B1381" s="5" t="str">
        <f>"FES1162741104"</f>
        <v>FES1162741104</v>
      </c>
      <c r="C1381" s="5" t="s">
        <v>1042</v>
      </c>
      <c r="D1381" s="5">
        <v>1</v>
      </c>
      <c r="E1381" s="5" t="str">
        <f>"2170730742"</f>
        <v>2170730742</v>
      </c>
      <c r="F1381" s="5" t="s">
        <v>17</v>
      </c>
      <c r="G1381" s="5" t="s">
        <v>18</v>
      </c>
      <c r="H1381" s="5" t="s">
        <v>18</v>
      </c>
      <c r="I1381" s="5" t="s">
        <v>206</v>
      </c>
      <c r="J1381" s="5" t="s">
        <v>207</v>
      </c>
      <c r="K1381" s="5" t="s">
        <v>1190</v>
      </c>
      <c r="L1381" s="6">
        <v>0.33333333333333331</v>
      </c>
      <c r="M1381" s="5" t="s">
        <v>725</v>
      </c>
      <c r="N1381" s="5" t="s">
        <v>24</v>
      </c>
      <c r="O1381" s="5"/>
    </row>
    <row r="1382" spans="1:15">
      <c r="A1382" s="5" t="s">
        <v>15</v>
      </c>
      <c r="B1382" s="5" t="str">
        <f>"FES1162741171"</f>
        <v>FES1162741171</v>
      </c>
      <c r="C1382" s="5" t="s">
        <v>1042</v>
      </c>
      <c r="D1382" s="5">
        <v>1</v>
      </c>
      <c r="E1382" s="5" t="str">
        <f>"2170732768"</f>
        <v>2170732768</v>
      </c>
      <c r="F1382" s="5" t="s">
        <v>17</v>
      </c>
      <c r="G1382" s="5" t="s">
        <v>18</v>
      </c>
      <c r="H1382" s="5" t="s">
        <v>100</v>
      </c>
      <c r="I1382" s="5" t="s">
        <v>262</v>
      </c>
      <c r="J1382" s="5" t="s">
        <v>263</v>
      </c>
      <c r="K1382" s="5" t="s">
        <v>1228</v>
      </c>
      <c r="L1382" s="6">
        <v>0.33333333333333331</v>
      </c>
      <c r="M1382" s="5" t="s">
        <v>1332</v>
      </c>
      <c r="N1382" s="5" t="s">
        <v>24</v>
      </c>
      <c r="O1382" s="5"/>
    </row>
    <row r="1383" spans="1:15">
      <c r="A1383" s="5" t="s">
        <v>15</v>
      </c>
      <c r="B1383" s="5" t="str">
        <f>"FES1162741107"</f>
        <v>FES1162741107</v>
      </c>
      <c r="C1383" s="5" t="s">
        <v>1042</v>
      </c>
      <c r="D1383" s="5">
        <v>1</v>
      </c>
      <c r="E1383" s="5" t="str">
        <f>"2170730799"</f>
        <v>2170730799</v>
      </c>
      <c r="F1383" s="5" t="s">
        <v>17</v>
      </c>
      <c r="G1383" s="5" t="s">
        <v>18</v>
      </c>
      <c r="H1383" s="5" t="s">
        <v>19</v>
      </c>
      <c r="I1383" s="5" t="s">
        <v>51</v>
      </c>
      <c r="J1383" s="5" t="s">
        <v>429</v>
      </c>
      <c r="K1383" s="5" t="s">
        <v>1190</v>
      </c>
      <c r="L1383" s="6">
        <v>0.38611111111111113</v>
      </c>
      <c r="M1383" s="5" t="s">
        <v>982</v>
      </c>
      <c r="N1383" s="5" t="s">
        <v>24</v>
      </c>
      <c r="O1383" s="5"/>
    </row>
    <row r="1384" spans="1:15">
      <c r="A1384" s="5" t="s">
        <v>15</v>
      </c>
      <c r="B1384" s="5" t="str">
        <f>"FES1162741040"</f>
        <v>FES1162741040</v>
      </c>
      <c r="C1384" s="5" t="s">
        <v>1042</v>
      </c>
      <c r="D1384" s="5">
        <v>1</v>
      </c>
      <c r="E1384" s="5" t="str">
        <f>"2170732711"</f>
        <v>2170732711</v>
      </c>
      <c r="F1384" s="5" t="s">
        <v>17</v>
      </c>
      <c r="G1384" s="5" t="s">
        <v>18</v>
      </c>
      <c r="H1384" s="5" t="s">
        <v>66</v>
      </c>
      <c r="I1384" s="5" t="s">
        <v>67</v>
      </c>
      <c r="J1384" s="5" t="s">
        <v>1333</v>
      </c>
      <c r="K1384" s="5" t="s">
        <v>1190</v>
      </c>
      <c r="L1384" s="6">
        <v>0.41319444444444442</v>
      </c>
      <c r="M1384" s="5" t="s">
        <v>1334</v>
      </c>
      <c r="N1384" s="5" t="s">
        <v>24</v>
      </c>
      <c r="O1384" s="5"/>
    </row>
    <row r="1385" spans="1:15">
      <c r="A1385" s="5" t="s">
        <v>15</v>
      </c>
      <c r="B1385" s="5" t="str">
        <f>"FES1162741031"</f>
        <v>FES1162741031</v>
      </c>
      <c r="C1385" s="5" t="s">
        <v>1042</v>
      </c>
      <c r="D1385" s="5">
        <v>1</v>
      </c>
      <c r="E1385" s="5" t="str">
        <f>"2170732696"</f>
        <v>2170732696</v>
      </c>
      <c r="F1385" s="5" t="s">
        <v>17</v>
      </c>
      <c r="G1385" s="5" t="s">
        <v>18</v>
      </c>
      <c r="H1385" s="5" t="s">
        <v>66</v>
      </c>
      <c r="I1385" s="5" t="s">
        <v>67</v>
      </c>
      <c r="J1385" s="5" t="s">
        <v>906</v>
      </c>
      <c r="K1385" s="5" t="s">
        <v>1190</v>
      </c>
      <c r="L1385" s="6">
        <v>0.3923611111111111</v>
      </c>
      <c r="M1385" s="5" t="s">
        <v>455</v>
      </c>
      <c r="N1385" s="5" t="s">
        <v>24</v>
      </c>
      <c r="O1385" s="5"/>
    </row>
    <row r="1386" spans="1:15">
      <c r="A1386" s="5" t="s">
        <v>15</v>
      </c>
      <c r="B1386" s="5" t="str">
        <f>"FES1162741211"</f>
        <v>FES1162741211</v>
      </c>
      <c r="C1386" s="5" t="s">
        <v>1042</v>
      </c>
      <c r="D1386" s="5">
        <v>1</v>
      </c>
      <c r="E1386" s="5" t="str">
        <f>"2170732830"</f>
        <v>2170732830</v>
      </c>
      <c r="F1386" s="5" t="s">
        <v>17</v>
      </c>
      <c r="G1386" s="5" t="s">
        <v>18</v>
      </c>
      <c r="H1386" s="5" t="s">
        <v>100</v>
      </c>
      <c r="I1386" s="5" t="s">
        <v>155</v>
      </c>
      <c r="J1386" s="5" t="s">
        <v>489</v>
      </c>
      <c r="K1386" s="5" t="s">
        <v>1190</v>
      </c>
      <c r="L1386" s="6">
        <v>0.42083333333333334</v>
      </c>
      <c r="M1386" s="5" t="s">
        <v>490</v>
      </c>
      <c r="N1386" s="5" t="s">
        <v>24</v>
      </c>
      <c r="O1386" s="5"/>
    </row>
    <row r="1387" spans="1:15">
      <c r="A1387" s="5" t="s">
        <v>15</v>
      </c>
      <c r="B1387" s="5" t="str">
        <f>"FES1162741138"</f>
        <v>FES1162741138</v>
      </c>
      <c r="C1387" s="5" t="s">
        <v>1042</v>
      </c>
      <c r="D1387" s="5">
        <v>1</v>
      </c>
      <c r="E1387" s="5" t="str">
        <f>"2170732197"</f>
        <v>2170732197</v>
      </c>
      <c r="F1387" s="5" t="s">
        <v>17</v>
      </c>
      <c r="G1387" s="5" t="s">
        <v>18</v>
      </c>
      <c r="H1387" s="5" t="s">
        <v>66</v>
      </c>
      <c r="I1387" s="5" t="s">
        <v>67</v>
      </c>
      <c r="J1387" s="5" t="s">
        <v>325</v>
      </c>
      <c r="K1387" s="5" t="s">
        <v>1190</v>
      </c>
      <c r="L1387" s="6">
        <v>0.2986111111111111</v>
      </c>
      <c r="M1387" s="5" t="s">
        <v>1329</v>
      </c>
      <c r="N1387" s="5" t="s">
        <v>24</v>
      </c>
      <c r="O1387" s="5"/>
    </row>
    <row r="1388" spans="1:15">
      <c r="A1388" s="5" t="s">
        <v>15</v>
      </c>
      <c r="B1388" s="5" t="str">
        <f>"FES1162741152"</f>
        <v>FES1162741152</v>
      </c>
      <c r="C1388" s="5" t="s">
        <v>1042</v>
      </c>
      <c r="D1388" s="5">
        <v>1</v>
      </c>
      <c r="E1388" s="5" t="str">
        <f>"2170728526"</f>
        <v>2170728526</v>
      </c>
      <c r="F1388" s="5" t="s">
        <v>17</v>
      </c>
      <c r="G1388" s="5" t="s">
        <v>18</v>
      </c>
      <c r="H1388" s="5" t="s">
        <v>19</v>
      </c>
      <c r="I1388" s="5" t="s">
        <v>86</v>
      </c>
      <c r="J1388" s="5" t="s">
        <v>106</v>
      </c>
      <c r="K1388" s="5" t="s">
        <v>1190</v>
      </c>
      <c r="L1388" s="6">
        <v>0.35486111111111113</v>
      </c>
      <c r="M1388" s="5" t="s">
        <v>1129</v>
      </c>
      <c r="N1388" s="5" t="s">
        <v>24</v>
      </c>
      <c r="O1388" s="5"/>
    </row>
    <row r="1389" spans="1:15">
      <c r="A1389" s="5" t="s">
        <v>15</v>
      </c>
      <c r="B1389" s="5" t="str">
        <f>"FES1162741114"</f>
        <v>FES1162741114</v>
      </c>
      <c r="C1389" s="5" t="s">
        <v>1042</v>
      </c>
      <c r="D1389" s="5">
        <v>1</v>
      </c>
      <c r="E1389" s="5" t="str">
        <f>"2170730910"</f>
        <v>2170730910</v>
      </c>
      <c r="F1389" s="5" t="s">
        <v>17</v>
      </c>
      <c r="G1389" s="5" t="s">
        <v>18</v>
      </c>
      <c r="H1389" s="5" t="s">
        <v>19</v>
      </c>
      <c r="I1389" s="5" t="s">
        <v>20</v>
      </c>
      <c r="J1389" s="5" t="s">
        <v>21</v>
      </c>
      <c r="K1389" s="5" t="s">
        <v>1190</v>
      </c>
      <c r="L1389" s="6">
        <v>0.37083333333333335</v>
      </c>
      <c r="M1389" s="5" t="s">
        <v>200</v>
      </c>
      <c r="N1389" s="5" t="s">
        <v>24</v>
      </c>
      <c r="O1389" s="5"/>
    </row>
    <row r="1390" spans="1:15">
      <c r="A1390" s="5" t="s">
        <v>15</v>
      </c>
      <c r="B1390" s="5" t="str">
        <f>"FES1162741195"</f>
        <v>FES1162741195</v>
      </c>
      <c r="C1390" s="5" t="s">
        <v>1042</v>
      </c>
      <c r="D1390" s="5">
        <v>1</v>
      </c>
      <c r="E1390" s="5" t="str">
        <f>"2170732812"</f>
        <v>2170732812</v>
      </c>
      <c r="F1390" s="5" t="s">
        <v>17</v>
      </c>
      <c r="G1390" s="5" t="s">
        <v>18</v>
      </c>
      <c r="H1390" s="5" t="s">
        <v>100</v>
      </c>
      <c r="I1390" s="5" t="s">
        <v>262</v>
      </c>
      <c r="J1390" s="5" t="s">
        <v>1113</v>
      </c>
      <c r="K1390" s="5" t="s">
        <v>1228</v>
      </c>
      <c r="L1390" s="6">
        <v>0.37083333333333335</v>
      </c>
      <c r="M1390" s="5" t="s">
        <v>1335</v>
      </c>
      <c r="N1390" s="5" t="s">
        <v>24</v>
      </c>
      <c r="O1390" s="5"/>
    </row>
    <row r="1391" spans="1:15">
      <c r="A1391" s="5" t="s">
        <v>15</v>
      </c>
      <c r="B1391" s="5" t="str">
        <f>"FES1162741199"</f>
        <v>FES1162741199</v>
      </c>
      <c r="C1391" s="5" t="s">
        <v>1042</v>
      </c>
      <c r="D1391" s="5">
        <v>1</v>
      </c>
      <c r="E1391" s="5" t="str">
        <f>"2170732820"</f>
        <v>2170732820</v>
      </c>
      <c r="F1391" s="5" t="s">
        <v>17</v>
      </c>
      <c r="G1391" s="5" t="s">
        <v>18</v>
      </c>
      <c r="H1391" s="5" t="s">
        <v>100</v>
      </c>
      <c r="I1391" s="5" t="s">
        <v>262</v>
      </c>
      <c r="J1391" s="5" t="s">
        <v>1113</v>
      </c>
      <c r="K1391" s="5" t="s">
        <v>1228</v>
      </c>
      <c r="L1391" s="6">
        <v>0.37083333333333335</v>
      </c>
      <c r="M1391" s="5" t="s">
        <v>1335</v>
      </c>
      <c r="N1391" s="5" t="s">
        <v>24</v>
      </c>
      <c r="O1391" s="5"/>
    </row>
    <row r="1392" spans="1:15">
      <c r="A1392" s="5" t="s">
        <v>15</v>
      </c>
      <c r="B1392" s="5" t="str">
        <f>"FES1162741073"</f>
        <v>FES1162741073</v>
      </c>
      <c r="C1392" s="5" t="s">
        <v>1042</v>
      </c>
      <c r="D1392" s="5">
        <v>1</v>
      </c>
      <c r="E1392" s="5" t="str">
        <f>"2170732756"</f>
        <v>2170732756</v>
      </c>
      <c r="F1392" s="5" t="s">
        <v>17</v>
      </c>
      <c r="G1392" s="5" t="s">
        <v>18</v>
      </c>
      <c r="H1392" s="5" t="s">
        <v>18</v>
      </c>
      <c r="I1392" s="5" t="s">
        <v>29</v>
      </c>
      <c r="J1392" s="5" t="s">
        <v>679</v>
      </c>
      <c r="K1392" s="5" t="s">
        <v>1190</v>
      </c>
      <c r="L1392" s="6">
        <v>0.2986111111111111</v>
      </c>
      <c r="M1392" s="5" t="s">
        <v>1336</v>
      </c>
      <c r="N1392" s="5" t="s">
        <v>24</v>
      </c>
      <c r="O1392" s="5"/>
    </row>
    <row r="1393" spans="1:15">
      <c r="A1393" s="5" t="s">
        <v>15</v>
      </c>
      <c r="B1393" s="5" t="str">
        <f>"FES1162741109"</f>
        <v>FES1162741109</v>
      </c>
      <c r="C1393" s="5" t="s">
        <v>1042</v>
      </c>
      <c r="D1393" s="5">
        <v>1</v>
      </c>
      <c r="E1393" s="5" t="str">
        <f>"2170730811"</f>
        <v>2170730811</v>
      </c>
      <c r="F1393" s="5" t="s">
        <v>17</v>
      </c>
      <c r="G1393" s="5" t="s">
        <v>18</v>
      </c>
      <c r="H1393" s="5" t="s">
        <v>66</v>
      </c>
      <c r="I1393" s="5" t="s">
        <v>67</v>
      </c>
      <c r="J1393" s="5" t="s">
        <v>68</v>
      </c>
      <c r="K1393" s="5" t="s">
        <v>1190</v>
      </c>
      <c r="L1393" s="6">
        <v>0.39583333333333331</v>
      </c>
      <c r="M1393" s="5" t="s">
        <v>502</v>
      </c>
      <c r="N1393" s="5" t="s">
        <v>24</v>
      </c>
      <c r="O1393" s="5"/>
    </row>
    <row r="1394" spans="1:15">
      <c r="A1394" s="5" t="s">
        <v>15</v>
      </c>
      <c r="B1394" s="5" t="str">
        <f>"FES1162741066"</f>
        <v>FES1162741066</v>
      </c>
      <c r="C1394" s="5" t="s">
        <v>1042</v>
      </c>
      <c r="D1394" s="5">
        <v>1</v>
      </c>
      <c r="E1394" s="5" t="str">
        <f>"2170732749"</f>
        <v>2170732749</v>
      </c>
      <c r="F1394" s="5" t="s">
        <v>17</v>
      </c>
      <c r="G1394" s="5" t="s">
        <v>18</v>
      </c>
      <c r="H1394" s="5" t="s">
        <v>19</v>
      </c>
      <c r="I1394" s="5" t="s">
        <v>51</v>
      </c>
      <c r="J1394" s="5" t="s">
        <v>1337</v>
      </c>
      <c r="K1394" s="5" t="s">
        <v>1190</v>
      </c>
      <c r="L1394" s="6">
        <v>0.37777777777777777</v>
      </c>
      <c r="M1394" s="5" t="s">
        <v>963</v>
      </c>
      <c r="N1394" s="5" t="s">
        <v>24</v>
      </c>
      <c r="O1394" s="5"/>
    </row>
    <row r="1395" spans="1:15">
      <c r="A1395" s="5" t="s">
        <v>15</v>
      </c>
      <c r="B1395" s="5" t="str">
        <f>"FES1162741102"</f>
        <v>FES1162741102</v>
      </c>
      <c r="C1395" s="5" t="s">
        <v>1042</v>
      </c>
      <c r="D1395" s="5">
        <v>1</v>
      </c>
      <c r="E1395" s="5" t="str">
        <f>"2170730737"</f>
        <v>2170730737</v>
      </c>
      <c r="F1395" s="5" t="s">
        <v>17</v>
      </c>
      <c r="G1395" s="5" t="s">
        <v>18</v>
      </c>
      <c r="H1395" s="5" t="s">
        <v>40</v>
      </c>
      <c r="I1395" s="5" t="s">
        <v>41</v>
      </c>
      <c r="J1395" s="5" t="s">
        <v>1338</v>
      </c>
      <c r="K1395" s="5" t="s">
        <v>1190</v>
      </c>
      <c r="L1395" s="6">
        <v>0.43402777777777773</v>
      </c>
      <c r="M1395" s="5" t="s">
        <v>1339</v>
      </c>
      <c r="N1395" s="5" t="s">
        <v>24</v>
      </c>
      <c r="O1395" s="5"/>
    </row>
    <row r="1396" spans="1:15">
      <c r="A1396" s="5" t="s">
        <v>15</v>
      </c>
      <c r="B1396" s="5" t="str">
        <f>"FES1162741208"</f>
        <v>FES1162741208</v>
      </c>
      <c r="C1396" s="5" t="s">
        <v>1042</v>
      </c>
      <c r="D1396" s="5">
        <v>1</v>
      </c>
      <c r="E1396" s="5" t="str">
        <f>"2170732827"</f>
        <v>2170732827</v>
      </c>
      <c r="F1396" s="5" t="s">
        <v>17</v>
      </c>
      <c r="G1396" s="5" t="s">
        <v>18</v>
      </c>
      <c r="H1396" s="5" t="s">
        <v>100</v>
      </c>
      <c r="I1396" s="5" t="s">
        <v>101</v>
      </c>
      <c r="J1396" s="5" t="s">
        <v>653</v>
      </c>
      <c r="K1396" s="5" t="s">
        <v>1190</v>
      </c>
      <c r="L1396" s="6">
        <v>0.38541666666666669</v>
      </c>
      <c r="M1396" s="5" t="s">
        <v>654</v>
      </c>
      <c r="N1396" s="5" t="s">
        <v>24</v>
      </c>
      <c r="O1396" s="5"/>
    </row>
    <row r="1397" spans="1:15">
      <c r="A1397" s="5" t="s">
        <v>15</v>
      </c>
      <c r="B1397" s="5" t="str">
        <f>"FES1162741072"</f>
        <v>FES1162741072</v>
      </c>
      <c r="C1397" s="5" t="s">
        <v>1042</v>
      </c>
      <c r="D1397" s="5">
        <v>1</v>
      </c>
      <c r="E1397" s="5" t="str">
        <f>"2170732754"</f>
        <v>2170732754</v>
      </c>
      <c r="F1397" s="5" t="s">
        <v>17</v>
      </c>
      <c r="G1397" s="5" t="s">
        <v>18</v>
      </c>
      <c r="H1397" s="5" t="s">
        <v>66</v>
      </c>
      <c r="I1397" s="5" t="s">
        <v>158</v>
      </c>
      <c r="J1397" s="5" t="s">
        <v>159</v>
      </c>
      <c r="K1397" s="5" t="s">
        <v>1190</v>
      </c>
      <c r="L1397" s="6">
        <v>0.62847222222222221</v>
      </c>
      <c r="M1397" s="5" t="s">
        <v>211</v>
      </c>
      <c r="N1397" s="5" t="s">
        <v>24</v>
      </c>
      <c r="O1397" s="5"/>
    </row>
    <row r="1398" spans="1:15">
      <c r="A1398" s="5" t="s">
        <v>15</v>
      </c>
      <c r="B1398" s="5" t="str">
        <f>"FES1162741030"</f>
        <v>FES1162741030</v>
      </c>
      <c r="C1398" s="5" t="s">
        <v>1042</v>
      </c>
      <c r="D1398" s="5">
        <v>1</v>
      </c>
      <c r="E1398" s="5" t="str">
        <f>"2170732695"</f>
        <v>2170732695</v>
      </c>
      <c r="F1398" s="5" t="s">
        <v>17</v>
      </c>
      <c r="G1398" s="5" t="s">
        <v>18</v>
      </c>
      <c r="H1398" s="5" t="s">
        <v>66</v>
      </c>
      <c r="I1398" s="5" t="s">
        <v>67</v>
      </c>
      <c r="J1398" s="5" t="s">
        <v>906</v>
      </c>
      <c r="K1398" s="5" t="s">
        <v>1190</v>
      </c>
      <c r="L1398" s="6">
        <v>0.3923611111111111</v>
      </c>
      <c r="M1398" s="5" t="s">
        <v>455</v>
      </c>
      <c r="N1398" s="5" t="s">
        <v>24</v>
      </c>
      <c r="O1398" s="5"/>
    </row>
    <row r="1399" spans="1:15">
      <c r="A1399" s="5" t="s">
        <v>15</v>
      </c>
      <c r="B1399" s="5" t="str">
        <f>"FES1162741233"</f>
        <v>FES1162741233</v>
      </c>
      <c r="C1399" s="5" t="s">
        <v>1042</v>
      </c>
      <c r="D1399" s="5">
        <v>1</v>
      </c>
      <c r="E1399" s="5" t="str">
        <f>"2170732857"</f>
        <v>2170732857</v>
      </c>
      <c r="F1399" s="5" t="s">
        <v>17</v>
      </c>
      <c r="G1399" s="5" t="s">
        <v>18</v>
      </c>
      <c r="H1399" s="5" t="s">
        <v>100</v>
      </c>
      <c r="I1399" s="5" t="s">
        <v>101</v>
      </c>
      <c r="J1399" s="5" t="s">
        <v>894</v>
      </c>
      <c r="K1399" s="5" t="s">
        <v>1190</v>
      </c>
      <c r="L1399" s="6">
        <v>0.4069444444444445</v>
      </c>
      <c r="M1399" s="5" t="s">
        <v>895</v>
      </c>
      <c r="N1399" s="5" t="s">
        <v>24</v>
      </c>
      <c r="O1399" s="5"/>
    </row>
    <row r="1400" spans="1:15">
      <c r="A1400" s="5" t="s">
        <v>15</v>
      </c>
      <c r="B1400" s="5" t="str">
        <f>"FES1162741068"</f>
        <v>FES1162741068</v>
      </c>
      <c r="C1400" s="5" t="s">
        <v>1042</v>
      </c>
      <c r="D1400" s="5">
        <v>1</v>
      </c>
      <c r="E1400" s="5" t="str">
        <f>"2170732751"</f>
        <v>2170732751</v>
      </c>
      <c r="F1400" s="5" t="s">
        <v>17</v>
      </c>
      <c r="G1400" s="5" t="s">
        <v>18</v>
      </c>
      <c r="H1400" s="5" t="s">
        <v>18</v>
      </c>
      <c r="I1400" s="5" t="s">
        <v>206</v>
      </c>
      <c r="J1400" s="5" t="s">
        <v>399</v>
      </c>
      <c r="K1400" s="5" t="s">
        <v>1228</v>
      </c>
      <c r="L1400" s="6">
        <v>0.4069444444444445</v>
      </c>
      <c r="M1400" s="5" t="s">
        <v>1095</v>
      </c>
      <c r="N1400" s="5" t="s">
        <v>24</v>
      </c>
      <c r="O1400" s="5" t="s">
        <v>1340</v>
      </c>
    </row>
    <row r="1401" spans="1:15">
      <c r="A1401" s="5" t="s">
        <v>15</v>
      </c>
      <c r="B1401" s="5" t="str">
        <f>"FES1162741051"</f>
        <v>FES1162741051</v>
      </c>
      <c r="C1401" s="5" t="s">
        <v>1042</v>
      </c>
      <c r="D1401" s="5">
        <v>1</v>
      </c>
      <c r="E1401" s="5" t="str">
        <f>"2170732731"</f>
        <v>2170732731</v>
      </c>
      <c r="F1401" s="5" t="s">
        <v>17</v>
      </c>
      <c r="G1401" s="5" t="s">
        <v>18</v>
      </c>
      <c r="H1401" s="5" t="s">
        <v>18</v>
      </c>
      <c r="I1401" s="5" t="s">
        <v>151</v>
      </c>
      <c r="J1401" s="5" t="s">
        <v>322</v>
      </c>
      <c r="K1401" s="5" t="s">
        <v>1190</v>
      </c>
      <c r="L1401" s="6">
        <v>0.41944444444444445</v>
      </c>
      <c r="M1401" s="5" t="s">
        <v>1341</v>
      </c>
      <c r="N1401" s="5" t="s">
        <v>24</v>
      </c>
      <c r="O1401" s="5"/>
    </row>
    <row r="1402" spans="1:15">
      <c r="A1402" s="5" t="s">
        <v>15</v>
      </c>
      <c r="B1402" s="5" t="str">
        <f>"FES1162740580"</f>
        <v>FES1162740580</v>
      </c>
      <c r="C1402" s="5" t="s">
        <v>1042</v>
      </c>
      <c r="D1402" s="5">
        <v>1</v>
      </c>
      <c r="E1402" s="5" t="str">
        <f>"2170732206"</f>
        <v>2170732206</v>
      </c>
      <c r="F1402" s="5" t="s">
        <v>17</v>
      </c>
      <c r="G1402" s="5" t="s">
        <v>18</v>
      </c>
      <c r="H1402" s="5" t="s">
        <v>66</v>
      </c>
      <c r="I1402" s="5" t="s">
        <v>67</v>
      </c>
      <c r="J1402" s="5" t="s">
        <v>166</v>
      </c>
      <c r="K1402" s="5" t="s">
        <v>1190</v>
      </c>
      <c r="L1402" s="6">
        <v>0.33749999999999997</v>
      </c>
      <c r="M1402" s="5" t="s">
        <v>167</v>
      </c>
      <c r="N1402" s="5" t="s">
        <v>24</v>
      </c>
      <c r="O1402" s="5"/>
    </row>
    <row r="1403" spans="1:15">
      <c r="A1403" s="5" t="s">
        <v>15</v>
      </c>
      <c r="B1403" s="5" t="str">
        <f>"FES1162741084"</f>
        <v>FES1162741084</v>
      </c>
      <c r="C1403" s="5" t="s">
        <v>1042</v>
      </c>
      <c r="D1403" s="5">
        <v>1</v>
      </c>
      <c r="E1403" s="5" t="str">
        <f>"2170730928"</f>
        <v>2170730928</v>
      </c>
      <c r="F1403" s="5" t="s">
        <v>17</v>
      </c>
      <c r="G1403" s="5" t="s">
        <v>18</v>
      </c>
      <c r="H1403" s="5" t="s">
        <v>18</v>
      </c>
      <c r="I1403" s="5" t="s">
        <v>29</v>
      </c>
      <c r="J1403" s="5" t="s">
        <v>1116</v>
      </c>
      <c r="K1403" s="5" t="s">
        <v>1190</v>
      </c>
      <c r="L1403" s="6">
        <v>0.41666666666666669</v>
      </c>
      <c r="M1403" s="5" t="s">
        <v>1342</v>
      </c>
      <c r="N1403" s="5" t="s">
        <v>24</v>
      </c>
      <c r="O1403" s="5"/>
    </row>
    <row r="1404" spans="1:15">
      <c r="A1404" s="5" t="s">
        <v>15</v>
      </c>
      <c r="B1404" s="5" t="str">
        <f>"FES1162741165"</f>
        <v>FES1162741165</v>
      </c>
      <c r="C1404" s="5" t="s">
        <v>1042</v>
      </c>
      <c r="D1404" s="5">
        <v>1</v>
      </c>
      <c r="E1404" s="5" t="str">
        <f>"2170732786"</f>
        <v>2170732786</v>
      </c>
      <c r="F1404" s="5" t="s">
        <v>17</v>
      </c>
      <c r="G1404" s="5" t="s">
        <v>18</v>
      </c>
      <c r="H1404" s="5" t="s">
        <v>18</v>
      </c>
      <c r="I1404" s="5" t="s">
        <v>171</v>
      </c>
      <c r="J1404" s="5" t="s">
        <v>884</v>
      </c>
      <c r="K1404" s="5" t="s">
        <v>1190</v>
      </c>
      <c r="L1404" s="6">
        <v>0.3215277777777778</v>
      </c>
      <c r="M1404" s="5" t="s">
        <v>1343</v>
      </c>
      <c r="N1404" s="5" t="s">
        <v>24</v>
      </c>
      <c r="O1404" s="5"/>
    </row>
    <row r="1405" spans="1:15">
      <c r="A1405" s="3" t="s">
        <v>15</v>
      </c>
      <c r="B1405" s="3" t="str">
        <f>"FES1162741231"</f>
        <v>FES1162741231</v>
      </c>
      <c r="C1405" s="3" t="s">
        <v>1042</v>
      </c>
      <c r="D1405" s="3">
        <v>1</v>
      </c>
      <c r="E1405" s="3" t="str">
        <f>"2170732854"</f>
        <v>2170732854</v>
      </c>
      <c r="F1405" s="3" t="s">
        <v>17</v>
      </c>
      <c r="G1405" s="3" t="s">
        <v>18</v>
      </c>
      <c r="H1405" s="3" t="s">
        <v>100</v>
      </c>
      <c r="I1405" s="3" t="s">
        <v>101</v>
      </c>
      <c r="J1405" s="3" t="s">
        <v>296</v>
      </c>
      <c r="K1405" s="3" t="s">
        <v>1190</v>
      </c>
      <c r="L1405" s="4">
        <v>0.38125000000000003</v>
      </c>
      <c r="M1405" s="3" t="s">
        <v>901</v>
      </c>
      <c r="N1405" s="3" t="s">
        <v>24</v>
      </c>
      <c r="O1405" s="3"/>
    </row>
    <row r="1406" spans="1:15">
      <c r="A1406" s="3" t="s">
        <v>15</v>
      </c>
      <c r="B1406" s="3" t="str">
        <f>"FES1162741090"</f>
        <v>FES1162741090</v>
      </c>
      <c r="C1406" s="3" t="s">
        <v>1042</v>
      </c>
      <c r="D1406" s="3">
        <v>1</v>
      </c>
      <c r="E1406" s="3" t="str">
        <f>"2170732772"</f>
        <v>2170732772</v>
      </c>
      <c r="F1406" s="3" t="s">
        <v>17</v>
      </c>
      <c r="G1406" s="3" t="s">
        <v>18</v>
      </c>
      <c r="H1406" s="3" t="s">
        <v>18</v>
      </c>
      <c r="I1406" s="3" t="s">
        <v>222</v>
      </c>
      <c r="J1406" s="3" t="s">
        <v>716</v>
      </c>
      <c r="K1406" s="3" t="s">
        <v>1190</v>
      </c>
      <c r="L1406" s="4">
        <v>0.41666666666666669</v>
      </c>
      <c r="M1406" s="3" t="s">
        <v>1344</v>
      </c>
      <c r="N1406" s="3" t="s">
        <v>24</v>
      </c>
      <c r="O1406" s="3"/>
    </row>
    <row r="1407" spans="1:15">
      <c r="A1407" s="3" t="s">
        <v>15</v>
      </c>
      <c r="B1407" s="3" t="str">
        <f>"FES1162741095"</f>
        <v>FES1162741095</v>
      </c>
      <c r="C1407" s="3" t="s">
        <v>1042</v>
      </c>
      <c r="D1407" s="3">
        <v>1</v>
      </c>
      <c r="E1407" s="3" t="str">
        <f>"2170728383"</f>
        <v>2170728383</v>
      </c>
      <c r="F1407" s="3" t="s">
        <v>17</v>
      </c>
      <c r="G1407" s="3" t="s">
        <v>18</v>
      </c>
      <c r="H1407" s="3" t="s">
        <v>18</v>
      </c>
      <c r="I1407" s="3" t="s">
        <v>151</v>
      </c>
      <c r="J1407" s="3" t="s">
        <v>1345</v>
      </c>
      <c r="K1407" s="3" t="s">
        <v>1190</v>
      </c>
      <c r="L1407" s="4">
        <v>0.41666666666666669</v>
      </c>
      <c r="M1407" s="3" t="s">
        <v>1346</v>
      </c>
      <c r="N1407" s="3" t="s">
        <v>24</v>
      </c>
      <c r="O1407" s="3"/>
    </row>
    <row r="1408" spans="1:15">
      <c r="A1408" s="3" t="s">
        <v>15</v>
      </c>
      <c r="B1408" s="3" t="str">
        <f>"FES1162741126"</f>
        <v>FES1162741126</v>
      </c>
      <c r="C1408" s="3" t="s">
        <v>1042</v>
      </c>
      <c r="D1408" s="3">
        <v>1</v>
      </c>
      <c r="E1408" s="3" t="str">
        <f>"2170731468"</f>
        <v>2170731468</v>
      </c>
      <c r="F1408" s="3" t="s">
        <v>17</v>
      </c>
      <c r="G1408" s="3" t="s">
        <v>18</v>
      </c>
      <c r="H1408" s="3" t="s">
        <v>66</v>
      </c>
      <c r="I1408" s="3" t="s">
        <v>158</v>
      </c>
      <c r="J1408" s="3" t="s">
        <v>541</v>
      </c>
      <c r="K1408" s="3" t="s">
        <v>1190</v>
      </c>
      <c r="L1408" s="4">
        <v>0.64583333333333337</v>
      </c>
      <c r="M1408" s="3" t="s">
        <v>472</v>
      </c>
      <c r="N1408" s="3" t="s">
        <v>24</v>
      </c>
      <c r="O1408" s="3"/>
    </row>
    <row r="1409" spans="1:15">
      <c r="A1409" s="3" t="s">
        <v>15</v>
      </c>
      <c r="B1409" s="3" t="str">
        <f>"FES1162741178"</f>
        <v>FES1162741178</v>
      </c>
      <c r="C1409" s="3" t="s">
        <v>1042</v>
      </c>
      <c r="D1409" s="3">
        <v>1</v>
      </c>
      <c r="E1409" s="3" t="str">
        <f>"2170732785"</f>
        <v>2170732785</v>
      </c>
      <c r="F1409" s="3" t="s">
        <v>17</v>
      </c>
      <c r="G1409" s="3" t="s">
        <v>18</v>
      </c>
      <c r="H1409" s="3" t="s">
        <v>66</v>
      </c>
      <c r="I1409" s="3" t="s">
        <v>67</v>
      </c>
      <c r="J1409" s="3" t="s">
        <v>1347</v>
      </c>
      <c r="K1409" s="3" t="s">
        <v>1190</v>
      </c>
      <c r="L1409" s="4">
        <v>0.43124999999999997</v>
      </c>
      <c r="M1409" s="3" t="s">
        <v>1348</v>
      </c>
      <c r="N1409" s="3" t="s">
        <v>24</v>
      </c>
      <c r="O1409" s="3"/>
    </row>
    <row r="1410" spans="1:15">
      <c r="A1410" s="3" t="s">
        <v>15</v>
      </c>
      <c r="B1410" s="3" t="str">
        <f>"FES1162741157"</f>
        <v>FES1162741157</v>
      </c>
      <c r="C1410" s="3" t="s">
        <v>1042</v>
      </c>
      <c r="D1410" s="3">
        <v>1</v>
      </c>
      <c r="E1410" s="3" t="str">
        <f>"2170730625"</f>
        <v>2170730625</v>
      </c>
      <c r="F1410" s="3" t="s">
        <v>17</v>
      </c>
      <c r="G1410" s="3" t="s">
        <v>18</v>
      </c>
      <c r="H1410" s="3" t="s">
        <v>18</v>
      </c>
      <c r="I1410" s="3" t="s">
        <v>29</v>
      </c>
      <c r="J1410" s="3" t="s">
        <v>1349</v>
      </c>
      <c r="K1410" s="3" t="s">
        <v>1190</v>
      </c>
      <c r="L1410" s="4">
        <v>0.36805555555555558</v>
      </c>
      <c r="M1410" s="3" t="s">
        <v>542</v>
      </c>
      <c r="N1410" s="3" t="s">
        <v>24</v>
      </c>
      <c r="O1410" s="3"/>
    </row>
    <row r="1411" spans="1:15">
      <c r="A1411" s="3" t="s">
        <v>15</v>
      </c>
      <c r="B1411" s="3" t="str">
        <f>"FES1162741057"</f>
        <v>FES1162741057</v>
      </c>
      <c r="C1411" s="3" t="s">
        <v>1042</v>
      </c>
      <c r="D1411" s="3">
        <v>1</v>
      </c>
      <c r="E1411" s="3" t="str">
        <f>"2170732737"</f>
        <v>2170732737</v>
      </c>
      <c r="F1411" s="3" t="s">
        <v>17</v>
      </c>
      <c r="G1411" s="3" t="s">
        <v>18</v>
      </c>
      <c r="H1411" s="3" t="s">
        <v>18</v>
      </c>
      <c r="I1411" s="3" t="s">
        <v>903</v>
      </c>
      <c r="J1411" s="3" t="s">
        <v>904</v>
      </c>
      <c r="K1411" s="3" t="s">
        <v>1190</v>
      </c>
      <c r="L1411" s="4">
        <v>0.44444444444444442</v>
      </c>
      <c r="M1411" s="3" t="s">
        <v>1350</v>
      </c>
      <c r="N1411" s="3" t="s">
        <v>24</v>
      </c>
      <c r="O1411" s="3"/>
    </row>
    <row r="1412" spans="1:15">
      <c r="A1412" s="3" t="s">
        <v>15</v>
      </c>
      <c r="B1412" s="3" t="str">
        <f>"FES1162741236"</f>
        <v>FES1162741236</v>
      </c>
      <c r="C1412" s="3" t="s">
        <v>1042</v>
      </c>
      <c r="D1412" s="3">
        <v>1</v>
      </c>
      <c r="E1412" s="3" t="str">
        <f>"2170732863"</f>
        <v>2170732863</v>
      </c>
      <c r="F1412" s="3" t="s">
        <v>17</v>
      </c>
      <c r="G1412" s="3" t="s">
        <v>18</v>
      </c>
      <c r="H1412" s="3" t="s">
        <v>100</v>
      </c>
      <c r="I1412" s="3" t="s">
        <v>101</v>
      </c>
      <c r="J1412" s="3" t="s">
        <v>1010</v>
      </c>
      <c r="K1412" s="3" t="s">
        <v>1190</v>
      </c>
      <c r="L1412" s="4">
        <v>0.37638888888888888</v>
      </c>
      <c r="M1412" s="3" t="s">
        <v>1298</v>
      </c>
      <c r="N1412" s="3" t="s">
        <v>24</v>
      </c>
      <c r="O1412" s="3"/>
    </row>
    <row r="1413" spans="1:15">
      <c r="A1413" s="3" t="s">
        <v>15</v>
      </c>
      <c r="B1413" s="3" t="str">
        <f>"FES1162741143"</f>
        <v>FES1162741143</v>
      </c>
      <c r="C1413" s="3" t="s">
        <v>1042</v>
      </c>
      <c r="D1413" s="3">
        <v>1</v>
      </c>
      <c r="E1413" s="3" t="str">
        <f>"2170732776"</f>
        <v>2170732776</v>
      </c>
      <c r="F1413" s="3" t="s">
        <v>528</v>
      </c>
      <c r="G1413" s="3" t="s">
        <v>948</v>
      </c>
      <c r="H1413" s="3" t="s">
        <v>19</v>
      </c>
      <c r="I1413" s="3" t="s">
        <v>51</v>
      </c>
      <c r="J1413" s="3" t="s">
        <v>52</v>
      </c>
      <c r="K1413" s="3" t="s">
        <v>1190</v>
      </c>
      <c r="L1413" s="4">
        <v>0.59375</v>
      </c>
      <c r="M1413" s="3" t="s">
        <v>1351</v>
      </c>
      <c r="N1413" s="3" t="s">
        <v>24</v>
      </c>
      <c r="O1413" s="3"/>
    </row>
    <row r="1414" spans="1:15">
      <c r="A1414" s="3" t="s">
        <v>15</v>
      </c>
      <c r="B1414" s="3" t="str">
        <f>"FES1162741017"</f>
        <v>FES1162741017</v>
      </c>
      <c r="C1414" s="3" t="s">
        <v>1042</v>
      </c>
      <c r="D1414" s="3">
        <v>1</v>
      </c>
      <c r="E1414" s="3" t="str">
        <f>"2170730845"</f>
        <v>2170730845</v>
      </c>
      <c r="F1414" s="3" t="s">
        <v>17</v>
      </c>
      <c r="G1414" s="3" t="s">
        <v>18</v>
      </c>
      <c r="H1414" s="3" t="s">
        <v>70</v>
      </c>
      <c r="I1414" s="3" t="s">
        <v>71</v>
      </c>
      <c r="J1414" s="3" t="s">
        <v>441</v>
      </c>
      <c r="K1414" s="3" t="s">
        <v>1190</v>
      </c>
      <c r="L1414" s="4">
        <v>0.54861111111111105</v>
      </c>
      <c r="M1414" s="3" t="s">
        <v>782</v>
      </c>
      <c r="N1414" s="3" t="s">
        <v>24</v>
      </c>
      <c r="O1414" s="3"/>
    </row>
    <row r="1415" spans="1:15">
      <c r="A1415" s="3" t="s">
        <v>15</v>
      </c>
      <c r="B1415" s="3" t="str">
        <f>"FES1162741059"</f>
        <v>FES1162741059</v>
      </c>
      <c r="C1415" s="3" t="s">
        <v>1042</v>
      </c>
      <c r="D1415" s="3">
        <v>1</v>
      </c>
      <c r="E1415" s="3" t="str">
        <f>"2170732742"</f>
        <v>2170732742</v>
      </c>
      <c r="F1415" s="3" t="s">
        <v>17</v>
      </c>
      <c r="G1415" s="3" t="s">
        <v>18</v>
      </c>
      <c r="H1415" s="3" t="s">
        <v>19</v>
      </c>
      <c r="I1415" s="3" t="s">
        <v>20</v>
      </c>
      <c r="J1415" s="3" t="s">
        <v>395</v>
      </c>
      <c r="K1415" s="3" t="s">
        <v>1190</v>
      </c>
      <c r="L1415" s="4">
        <v>0.33055555555555555</v>
      </c>
      <c r="M1415" s="3" t="s">
        <v>396</v>
      </c>
      <c r="N1415" s="3" t="s">
        <v>24</v>
      </c>
      <c r="O1415" s="3"/>
    </row>
    <row r="1416" spans="1:15">
      <c r="A1416" s="3" t="s">
        <v>15</v>
      </c>
      <c r="B1416" s="3" t="str">
        <f>"FES1162741058"</f>
        <v>FES1162741058</v>
      </c>
      <c r="C1416" s="3" t="s">
        <v>1042</v>
      </c>
      <c r="D1416" s="3">
        <v>1</v>
      </c>
      <c r="E1416" s="3" t="str">
        <f>"2170732738"</f>
        <v>2170732738</v>
      </c>
      <c r="F1416" s="3" t="s">
        <v>17</v>
      </c>
      <c r="G1416" s="3" t="s">
        <v>18</v>
      </c>
      <c r="H1416" s="3" t="s">
        <v>19</v>
      </c>
      <c r="I1416" s="3" t="s">
        <v>20</v>
      </c>
      <c r="J1416" s="3" t="s">
        <v>1352</v>
      </c>
      <c r="K1416" s="3" t="s">
        <v>1190</v>
      </c>
      <c r="L1416" s="4">
        <v>0.36319444444444443</v>
      </c>
      <c r="M1416" s="3" t="s">
        <v>1353</v>
      </c>
      <c r="N1416" s="3" t="s">
        <v>24</v>
      </c>
      <c r="O1416" s="3"/>
    </row>
    <row r="1417" spans="1:15">
      <c r="A1417" s="3" t="s">
        <v>15</v>
      </c>
      <c r="B1417" s="3" t="str">
        <f>"FES1162741244"</f>
        <v>FES1162741244</v>
      </c>
      <c r="C1417" s="3" t="s">
        <v>1042</v>
      </c>
      <c r="D1417" s="3">
        <v>1</v>
      </c>
      <c r="E1417" s="3" t="str">
        <f>"2170732875"</f>
        <v>2170732875</v>
      </c>
      <c r="F1417" s="3" t="s">
        <v>17</v>
      </c>
      <c r="G1417" s="3" t="s">
        <v>18</v>
      </c>
      <c r="H1417" s="3" t="s">
        <v>36</v>
      </c>
      <c r="I1417" s="3" t="s">
        <v>37</v>
      </c>
      <c r="J1417" s="3" t="s">
        <v>1354</v>
      </c>
      <c r="K1417" s="3" t="s">
        <v>1190</v>
      </c>
      <c r="L1417" s="4">
        <v>0.37847222222222227</v>
      </c>
      <c r="M1417" s="3" t="s">
        <v>1355</v>
      </c>
      <c r="N1417" s="3" t="s">
        <v>24</v>
      </c>
      <c r="O1417" s="3"/>
    </row>
    <row r="1418" spans="1:15">
      <c r="A1418" s="3" t="s">
        <v>15</v>
      </c>
      <c r="B1418" s="3" t="str">
        <f>"FES1162741230"</f>
        <v>FES1162741230</v>
      </c>
      <c r="C1418" s="3" t="s">
        <v>1042</v>
      </c>
      <c r="D1418" s="3">
        <v>1</v>
      </c>
      <c r="E1418" s="3" t="str">
        <f>"2170732852"</f>
        <v>2170732852</v>
      </c>
      <c r="F1418" s="3" t="s">
        <v>17</v>
      </c>
      <c r="G1418" s="3" t="s">
        <v>18</v>
      </c>
      <c r="H1418" s="3" t="s">
        <v>46</v>
      </c>
      <c r="I1418" s="3" t="s">
        <v>47</v>
      </c>
      <c r="J1418" s="3" t="s">
        <v>48</v>
      </c>
      <c r="K1418" s="3" t="s">
        <v>1190</v>
      </c>
      <c r="L1418" s="4">
        <v>0.41805555555555557</v>
      </c>
      <c r="M1418" s="3" t="s">
        <v>1356</v>
      </c>
      <c r="N1418" s="3" t="s">
        <v>24</v>
      </c>
      <c r="O1418" s="3"/>
    </row>
    <row r="1419" spans="1:15">
      <c r="A1419" s="3" t="s">
        <v>15</v>
      </c>
      <c r="B1419" s="3" t="str">
        <f>"FES1162741167"</f>
        <v>FES1162741167</v>
      </c>
      <c r="C1419" s="3" t="s">
        <v>1042</v>
      </c>
      <c r="D1419" s="3">
        <v>1</v>
      </c>
      <c r="E1419" s="3" t="str">
        <f>"2170732788"</f>
        <v>2170732788</v>
      </c>
      <c r="F1419" s="3" t="s">
        <v>17</v>
      </c>
      <c r="G1419" s="3" t="s">
        <v>18</v>
      </c>
      <c r="H1419" s="3" t="s">
        <v>66</v>
      </c>
      <c r="I1419" s="3" t="s">
        <v>67</v>
      </c>
      <c r="J1419" s="3" t="s">
        <v>1357</v>
      </c>
      <c r="K1419" s="3" t="s">
        <v>1190</v>
      </c>
      <c r="L1419" s="4">
        <v>0.57291666666666663</v>
      </c>
      <c r="M1419" s="3" t="s">
        <v>1358</v>
      </c>
      <c r="N1419" s="3" t="s">
        <v>24</v>
      </c>
      <c r="O1419" s="3"/>
    </row>
    <row r="1420" spans="1:15">
      <c r="A1420" s="3" t="s">
        <v>15</v>
      </c>
      <c r="B1420" s="3" t="str">
        <f>"FES1162741086"</f>
        <v>FES1162741086</v>
      </c>
      <c r="C1420" s="3" t="s">
        <v>1042</v>
      </c>
      <c r="D1420" s="3">
        <v>1</v>
      </c>
      <c r="E1420" s="3" t="str">
        <f>"2170731502"</f>
        <v>2170731502</v>
      </c>
      <c r="F1420" s="3" t="s">
        <v>17</v>
      </c>
      <c r="G1420" s="3" t="s">
        <v>18</v>
      </c>
      <c r="H1420" s="3" t="s">
        <v>19</v>
      </c>
      <c r="I1420" s="3" t="s">
        <v>86</v>
      </c>
      <c r="J1420" s="3" t="s">
        <v>273</v>
      </c>
      <c r="K1420" s="3" t="s">
        <v>1190</v>
      </c>
      <c r="L1420" s="4">
        <v>0.43194444444444446</v>
      </c>
      <c r="M1420" s="3" t="s">
        <v>1172</v>
      </c>
      <c r="N1420" s="3" t="s">
        <v>24</v>
      </c>
      <c r="O1420" s="3"/>
    </row>
    <row r="1421" spans="1:15">
      <c r="A1421" s="3" t="s">
        <v>15</v>
      </c>
      <c r="B1421" s="3" t="str">
        <f>"FES1162741013"</f>
        <v>FES1162741013</v>
      </c>
      <c r="C1421" s="3" t="s">
        <v>1042</v>
      </c>
      <c r="D1421" s="3">
        <v>1</v>
      </c>
      <c r="E1421" s="3" t="str">
        <f>"2170732687"</f>
        <v>2170732687</v>
      </c>
      <c r="F1421" s="3" t="s">
        <v>17</v>
      </c>
      <c r="G1421" s="3" t="s">
        <v>18</v>
      </c>
      <c r="H1421" s="3" t="s">
        <v>534</v>
      </c>
      <c r="I1421" s="3" t="s">
        <v>596</v>
      </c>
      <c r="J1421" s="3" t="s">
        <v>597</v>
      </c>
      <c r="K1421" s="3" t="s">
        <v>1190</v>
      </c>
      <c r="L1421" s="4">
        <v>0.39583333333333331</v>
      </c>
      <c r="M1421" s="3" t="s">
        <v>598</v>
      </c>
      <c r="N1421" s="3" t="s">
        <v>24</v>
      </c>
      <c r="O1421" s="3"/>
    </row>
    <row r="1422" spans="1:15">
      <c r="A1422" s="3" t="s">
        <v>15</v>
      </c>
      <c r="B1422" s="3" t="str">
        <f>"FES1162741113"</f>
        <v>FES1162741113</v>
      </c>
      <c r="C1422" s="3" t="s">
        <v>1042</v>
      </c>
      <c r="D1422" s="3">
        <v>1</v>
      </c>
      <c r="E1422" s="3" t="str">
        <f>"2170730874"</f>
        <v>2170730874</v>
      </c>
      <c r="F1422" s="3" t="s">
        <v>17</v>
      </c>
      <c r="G1422" s="3" t="s">
        <v>18</v>
      </c>
      <c r="H1422" s="3" t="s">
        <v>70</v>
      </c>
      <c r="I1422" s="3" t="s">
        <v>71</v>
      </c>
      <c r="J1422" s="3" t="s">
        <v>392</v>
      </c>
      <c r="K1422" s="3" t="s">
        <v>1190</v>
      </c>
      <c r="L1422" s="4">
        <v>0.53472222222222221</v>
      </c>
      <c r="M1422" s="3" t="s">
        <v>885</v>
      </c>
      <c r="N1422" s="3" t="s">
        <v>24</v>
      </c>
      <c r="O1422" s="3"/>
    </row>
    <row r="1423" spans="1:15">
      <c r="A1423" s="3" t="s">
        <v>15</v>
      </c>
      <c r="B1423" s="3" t="str">
        <f>"FES1162741026"</f>
        <v>FES1162741026</v>
      </c>
      <c r="C1423" s="3" t="s">
        <v>1042</v>
      </c>
      <c r="D1423" s="3">
        <v>1</v>
      </c>
      <c r="E1423" s="3" t="str">
        <f>"2170732690"</f>
        <v>2170732690</v>
      </c>
      <c r="F1423" s="3" t="s">
        <v>17</v>
      </c>
      <c r="G1423" s="3" t="s">
        <v>18</v>
      </c>
      <c r="H1423" s="3" t="s">
        <v>19</v>
      </c>
      <c r="I1423" s="3" t="s">
        <v>51</v>
      </c>
      <c r="J1423" s="3" t="s">
        <v>1359</v>
      </c>
      <c r="K1423" s="3" t="s">
        <v>1190</v>
      </c>
      <c r="L1423" s="4">
        <v>0.3979166666666667</v>
      </c>
      <c r="M1423" s="3" t="s">
        <v>1256</v>
      </c>
      <c r="N1423" s="3" t="s">
        <v>24</v>
      </c>
      <c r="O1423" s="3"/>
    </row>
    <row r="1424" spans="1:15">
      <c r="A1424" s="3" t="s">
        <v>15</v>
      </c>
      <c r="B1424" s="3" t="str">
        <f>"FES1162741064"</f>
        <v>FES1162741064</v>
      </c>
      <c r="C1424" s="3" t="s">
        <v>1042</v>
      </c>
      <c r="D1424" s="3">
        <v>1</v>
      </c>
      <c r="E1424" s="3" t="str">
        <f>"2170732747"</f>
        <v>2170732747</v>
      </c>
      <c r="F1424" s="3" t="s">
        <v>17</v>
      </c>
      <c r="G1424" s="3" t="s">
        <v>18</v>
      </c>
      <c r="H1424" s="3" t="s">
        <v>19</v>
      </c>
      <c r="I1424" s="3" t="s">
        <v>20</v>
      </c>
      <c r="J1424" s="3" t="s">
        <v>1360</v>
      </c>
      <c r="K1424" s="3" t="s">
        <v>1190</v>
      </c>
      <c r="L1424" s="4">
        <v>0.33819444444444446</v>
      </c>
      <c r="M1424" s="3" t="s">
        <v>1361</v>
      </c>
      <c r="N1424" s="3" t="s">
        <v>24</v>
      </c>
      <c r="O1424" s="3"/>
    </row>
    <row r="1425" spans="1:15">
      <c r="A1425" s="3" t="s">
        <v>15</v>
      </c>
      <c r="B1425" s="3" t="str">
        <f>"FES1162741067"</f>
        <v>FES1162741067</v>
      </c>
      <c r="C1425" s="3" t="s">
        <v>1042</v>
      </c>
      <c r="D1425" s="3">
        <v>1</v>
      </c>
      <c r="E1425" s="3" t="str">
        <f>"2170732750"</f>
        <v>2170732750</v>
      </c>
      <c r="F1425" s="3" t="s">
        <v>17</v>
      </c>
      <c r="G1425" s="3" t="s">
        <v>18</v>
      </c>
      <c r="H1425" s="3" t="s">
        <v>19</v>
      </c>
      <c r="I1425" s="3" t="s">
        <v>20</v>
      </c>
      <c r="J1425" s="3" t="s">
        <v>56</v>
      </c>
      <c r="K1425" s="3" t="s">
        <v>1190</v>
      </c>
      <c r="L1425" s="4">
        <v>0.37013888888888885</v>
      </c>
      <c r="M1425" s="3" t="s">
        <v>259</v>
      </c>
      <c r="N1425" s="3" t="s">
        <v>24</v>
      </c>
      <c r="O1425" s="3"/>
    </row>
    <row r="1426" spans="1:15">
      <c r="A1426" s="3" t="s">
        <v>15</v>
      </c>
      <c r="B1426" s="3" t="str">
        <f>"FES1162741240"</f>
        <v>FES1162741240</v>
      </c>
      <c r="C1426" s="3" t="s">
        <v>1042</v>
      </c>
      <c r="D1426" s="3">
        <v>1</v>
      </c>
      <c r="E1426" s="3" t="str">
        <f>"2170732866"</f>
        <v>2170732866</v>
      </c>
      <c r="F1426" s="3" t="s">
        <v>17</v>
      </c>
      <c r="G1426" s="3" t="s">
        <v>18</v>
      </c>
      <c r="H1426" s="3" t="s">
        <v>46</v>
      </c>
      <c r="I1426" s="3" t="s">
        <v>47</v>
      </c>
      <c r="J1426" s="3" t="s">
        <v>839</v>
      </c>
      <c r="K1426" s="3" t="s">
        <v>1190</v>
      </c>
      <c r="L1426" s="4">
        <v>0.43402777777777773</v>
      </c>
      <c r="M1426" s="3" t="s">
        <v>1362</v>
      </c>
      <c r="N1426" s="3" t="s">
        <v>24</v>
      </c>
      <c r="O1426" s="3"/>
    </row>
    <row r="1427" spans="1:15">
      <c r="A1427" s="3" t="s">
        <v>15</v>
      </c>
      <c r="B1427" s="3" t="str">
        <f>"FES1162741060"</f>
        <v>FES1162741060</v>
      </c>
      <c r="C1427" s="3" t="s">
        <v>1042</v>
      </c>
      <c r="D1427" s="3">
        <v>1</v>
      </c>
      <c r="E1427" s="3" t="str">
        <f>"2170732743"</f>
        <v>2170732743</v>
      </c>
      <c r="F1427" s="3" t="s">
        <v>17</v>
      </c>
      <c r="G1427" s="3" t="s">
        <v>18</v>
      </c>
      <c r="H1427" s="3" t="s">
        <v>19</v>
      </c>
      <c r="I1427" s="3" t="s">
        <v>20</v>
      </c>
      <c r="J1427" s="3" t="s">
        <v>395</v>
      </c>
      <c r="K1427" s="3" t="s">
        <v>1190</v>
      </c>
      <c r="L1427" s="4">
        <v>0.33055555555555555</v>
      </c>
      <c r="M1427" s="3" t="s">
        <v>396</v>
      </c>
      <c r="N1427" s="3" t="s">
        <v>24</v>
      </c>
      <c r="O1427" s="3"/>
    </row>
    <row r="1428" spans="1:15">
      <c r="A1428" s="3" t="s">
        <v>15</v>
      </c>
      <c r="B1428" s="3" t="str">
        <f>"FES1162741083"</f>
        <v>FES1162741083</v>
      </c>
      <c r="C1428" s="3" t="s">
        <v>1042</v>
      </c>
      <c r="D1428" s="3">
        <v>1</v>
      </c>
      <c r="E1428" s="3" t="str">
        <f>"2170729286"</f>
        <v>2170729286</v>
      </c>
      <c r="F1428" s="3" t="s">
        <v>17</v>
      </c>
      <c r="G1428" s="3" t="s">
        <v>18</v>
      </c>
      <c r="H1428" s="3" t="s">
        <v>18</v>
      </c>
      <c r="I1428" s="3" t="s">
        <v>26</v>
      </c>
      <c r="J1428" s="3" t="s">
        <v>27</v>
      </c>
      <c r="K1428" s="3" t="s">
        <v>1190</v>
      </c>
      <c r="L1428" s="4">
        <v>0.28750000000000003</v>
      </c>
      <c r="M1428" s="3" t="s">
        <v>1363</v>
      </c>
      <c r="N1428" s="3" t="s">
        <v>24</v>
      </c>
      <c r="O1428" s="3"/>
    </row>
    <row r="1429" spans="1:15">
      <c r="A1429" s="3" t="s">
        <v>15</v>
      </c>
      <c r="B1429" s="3" t="str">
        <f>"FES1162741154"</f>
        <v>FES1162741154</v>
      </c>
      <c r="C1429" s="3" t="s">
        <v>1042</v>
      </c>
      <c r="D1429" s="3">
        <v>1</v>
      </c>
      <c r="E1429" s="3" t="str">
        <f>"2170729359"</f>
        <v>2170729359</v>
      </c>
      <c r="F1429" s="3" t="s">
        <v>17</v>
      </c>
      <c r="G1429" s="3" t="s">
        <v>18</v>
      </c>
      <c r="H1429" s="3" t="s">
        <v>66</v>
      </c>
      <c r="I1429" s="3" t="s">
        <v>67</v>
      </c>
      <c r="J1429" s="3" t="s">
        <v>298</v>
      </c>
      <c r="K1429" s="3" t="s">
        <v>1190</v>
      </c>
      <c r="L1429" s="4">
        <v>0.3888888888888889</v>
      </c>
      <c r="M1429" s="3" t="s">
        <v>299</v>
      </c>
      <c r="N1429" s="3" t="s">
        <v>24</v>
      </c>
      <c r="O1429" s="3"/>
    </row>
    <row r="1430" spans="1:15">
      <c r="A1430" s="3" t="s">
        <v>15</v>
      </c>
      <c r="B1430" s="3" t="str">
        <f>"FES1162741027"</f>
        <v>FES1162741027</v>
      </c>
      <c r="C1430" s="3" t="s">
        <v>1042</v>
      </c>
      <c r="D1430" s="3">
        <v>1</v>
      </c>
      <c r="E1430" s="3" t="str">
        <f>"2170732691"</f>
        <v>2170732691</v>
      </c>
      <c r="F1430" s="3" t="s">
        <v>17</v>
      </c>
      <c r="G1430" s="3" t="s">
        <v>18</v>
      </c>
      <c r="H1430" s="3" t="s">
        <v>18</v>
      </c>
      <c r="I1430" s="3" t="s">
        <v>151</v>
      </c>
      <c r="J1430" s="3" t="s">
        <v>1364</v>
      </c>
      <c r="K1430" s="3" t="s">
        <v>1190</v>
      </c>
      <c r="L1430" s="4">
        <v>0.35833333333333334</v>
      </c>
      <c r="M1430" s="3" t="s">
        <v>1365</v>
      </c>
      <c r="N1430" s="3" t="s">
        <v>24</v>
      </c>
      <c r="O1430" s="3"/>
    </row>
    <row r="1431" spans="1:15">
      <c r="A1431" s="3" t="s">
        <v>15</v>
      </c>
      <c r="B1431" s="3" t="str">
        <f>"FES1162741153"</f>
        <v>FES1162741153</v>
      </c>
      <c r="C1431" s="3" t="s">
        <v>1042</v>
      </c>
      <c r="D1431" s="3">
        <v>1</v>
      </c>
      <c r="E1431" s="3" t="str">
        <f>"2170729188"</f>
        <v>2170729188</v>
      </c>
      <c r="F1431" s="3" t="s">
        <v>17</v>
      </c>
      <c r="G1431" s="3" t="s">
        <v>18</v>
      </c>
      <c r="H1431" s="3" t="s">
        <v>66</v>
      </c>
      <c r="I1431" s="3" t="s">
        <v>67</v>
      </c>
      <c r="J1431" s="3" t="s">
        <v>298</v>
      </c>
      <c r="K1431" s="3" t="s">
        <v>1190</v>
      </c>
      <c r="L1431" s="4">
        <v>0.3888888888888889</v>
      </c>
      <c r="M1431" s="3" t="s">
        <v>299</v>
      </c>
      <c r="N1431" s="3" t="s">
        <v>24</v>
      </c>
      <c r="O1431" s="3"/>
    </row>
    <row r="1432" spans="1:15">
      <c r="A1432" s="3" t="s">
        <v>15</v>
      </c>
      <c r="B1432" s="3" t="str">
        <f>"FES1162741043"</f>
        <v>FES1162741043</v>
      </c>
      <c r="C1432" s="3" t="s">
        <v>1042</v>
      </c>
      <c r="D1432" s="3">
        <v>1</v>
      </c>
      <c r="E1432" s="3" t="str">
        <f>"2170732715"</f>
        <v>2170732715</v>
      </c>
      <c r="F1432" s="3" t="s">
        <v>17</v>
      </c>
      <c r="G1432" s="3" t="s">
        <v>18</v>
      </c>
      <c r="H1432" s="3" t="s">
        <v>18</v>
      </c>
      <c r="I1432" s="3" t="s">
        <v>180</v>
      </c>
      <c r="J1432" s="3" t="s">
        <v>181</v>
      </c>
      <c r="K1432" s="3" t="s">
        <v>1190</v>
      </c>
      <c r="L1432" s="4">
        <v>0.4375</v>
      </c>
      <c r="M1432" s="3" t="s">
        <v>1366</v>
      </c>
      <c r="N1432" s="3" t="s">
        <v>24</v>
      </c>
      <c r="O1432" s="3"/>
    </row>
    <row r="1433" spans="1:15">
      <c r="A1433" s="3" t="s">
        <v>15</v>
      </c>
      <c r="B1433" s="3" t="str">
        <f>"FES1162741139"</f>
        <v>FES1162741139</v>
      </c>
      <c r="C1433" s="3" t="s">
        <v>1042</v>
      </c>
      <c r="D1433" s="3">
        <v>1</v>
      </c>
      <c r="E1433" s="3" t="str">
        <f>"2170732450"</f>
        <v>2170732450</v>
      </c>
      <c r="F1433" s="3" t="s">
        <v>17</v>
      </c>
      <c r="G1433" s="3" t="s">
        <v>18</v>
      </c>
      <c r="H1433" s="3" t="s">
        <v>534</v>
      </c>
      <c r="I1433" s="3" t="s">
        <v>1367</v>
      </c>
      <c r="J1433" s="3" t="s">
        <v>1368</v>
      </c>
      <c r="K1433" s="3" t="s">
        <v>1190</v>
      </c>
      <c r="L1433" s="4">
        <v>0.39583333333333331</v>
      </c>
      <c r="M1433" s="3" t="s">
        <v>1369</v>
      </c>
      <c r="N1433" s="3" t="s">
        <v>24</v>
      </c>
      <c r="O1433" s="3"/>
    </row>
    <row r="1434" spans="1:15">
      <c r="A1434" s="3" t="s">
        <v>15</v>
      </c>
      <c r="B1434" s="3" t="str">
        <f>"FES1162741105"</f>
        <v>FES1162741105</v>
      </c>
      <c r="C1434" s="3" t="s">
        <v>1042</v>
      </c>
      <c r="D1434" s="3">
        <v>1</v>
      </c>
      <c r="E1434" s="3" t="str">
        <f>"2170730744"</f>
        <v>2170730744</v>
      </c>
      <c r="F1434" s="3" t="s">
        <v>17</v>
      </c>
      <c r="G1434" s="3" t="s">
        <v>18</v>
      </c>
      <c r="H1434" s="3" t="s">
        <v>18</v>
      </c>
      <c r="I1434" s="3" t="s">
        <v>291</v>
      </c>
      <c r="J1434" s="3" t="s">
        <v>797</v>
      </c>
      <c r="K1434" s="3" t="s">
        <v>1190</v>
      </c>
      <c r="L1434" s="4">
        <v>0.33333333333333331</v>
      </c>
      <c r="M1434" s="3" t="s">
        <v>1370</v>
      </c>
      <c r="N1434" s="3" t="s">
        <v>24</v>
      </c>
      <c r="O1434" s="3"/>
    </row>
    <row r="1435" spans="1:15">
      <c r="A1435" s="3" t="s">
        <v>15</v>
      </c>
      <c r="B1435" s="3" t="str">
        <f>"FES1162741061"</f>
        <v>FES1162741061</v>
      </c>
      <c r="C1435" s="3" t="s">
        <v>1042</v>
      </c>
      <c r="D1435" s="3">
        <v>1</v>
      </c>
      <c r="E1435" s="3" t="str">
        <f>"2170732744"</f>
        <v>2170732744</v>
      </c>
      <c r="F1435" s="3" t="s">
        <v>17</v>
      </c>
      <c r="G1435" s="3" t="s">
        <v>18</v>
      </c>
      <c r="H1435" s="3" t="s">
        <v>18</v>
      </c>
      <c r="I1435" s="3" t="s">
        <v>151</v>
      </c>
      <c r="J1435" s="3" t="s">
        <v>1371</v>
      </c>
      <c r="K1435" s="3" t="s">
        <v>1190</v>
      </c>
      <c r="L1435" s="4">
        <v>0.4375</v>
      </c>
      <c r="M1435" s="3" t="s">
        <v>798</v>
      </c>
      <c r="N1435" s="3" t="s">
        <v>24</v>
      </c>
      <c r="O1435" s="3"/>
    </row>
    <row r="1436" spans="1:15">
      <c r="A1436" s="3" t="s">
        <v>15</v>
      </c>
      <c r="B1436" s="3" t="str">
        <f>"FES1162741049"</f>
        <v>FES1162741049</v>
      </c>
      <c r="C1436" s="3" t="s">
        <v>1042</v>
      </c>
      <c r="D1436" s="3">
        <v>1</v>
      </c>
      <c r="E1436" s="3" t="str">
        <f>"2170732726"</f>
        <v>2170732726</v>
      </c>
      <c r="F1436" s="3" t="s">
        <v>17</v>
      </c>
      <c r="G1436" s="3" t="s">
        <v>18</v>
      </c>
      <c r="H1436" s="3" t="s">
        <v>18</v>
      </c>
      <c r="I1436" s="3" t="s">
        <v>206</v>
      </c>
      <c r="J1436" s="3" t="s">
        <v>207</v>
      </c>
      <c r="K1436" s="3" t="s">
        <v>1190</v>
      </c>
      <c r="L1436" s="4">
        <v>0.33333333333333331</v>
      </c>
      <c r="M1436" s="3" t="s">
        <v>725</v>
      </c>
      <c r="N1436" s="3" t="s">
        <v>24</v>
      </c>
      <c r="O1436" s="3"/>
    </row>
    <row r="1437" spans="1:15">
      <c r="A1437" s="3" t="s">
        <v>15</v>
      </c>
      <c r="B1437" s="3" t="str">
        <f>"FES1162741103"</f>
        <v>FES1162741103</v>
      </c>
      <c r="C1437" s="3" t="s">
        <v>1042</v>
      </c>
      <c r="D1437" s="3">
        <v>1</v>
      </c>
      <c r="E1437" s="3" t="str">
        <f>"2170730738"</f>
        <v>2170730738</v>
      </c>
      <c r="F1437" s="3" t="s">
        <v>17</v>
      </c>
      <c r="G1437" s="3" t="s">
        <v>18</v>
      </c>
      <c r="H1437" s="3" t="s">
        <v>18</v>
      </c>
      <c r="I1437" s="3" t="s">
        <v>184</v>
      </c>
      <c r="J1437" s="3" t="s">
        <v>185</v>
      </c>
      <c r="K1437" s="3" t="s">
        <v>1190</v>
      </c>
      <c r="L1437" s="4">
        <v>0.29166666666666669</v>
      </c>
      <c r="M1437" s="3" t="s">
        <v>1191</v>
      </c>
      <c r="N1437" s="3" t="s">
        <v>24</v>
      </c>
      <c r="O1437" s="3"/>
    </row>
    <row r="1438" spans="1:15">
      <c r="A1438" s="3" t="s">
        <v>15</v>
      </c>
      <c r="B1438" s="3" t="str">
        <f>"FES1162741141"</f>
        <v>FES1162741141</v>
      </c>
      <c r="C1438" s="3" t="s">
        <v>1042</v>
      </c>
      <c r="D1438" s="3">
        <v>1</v>
      </c>
      <c r="E1438" s="3" t="str">
        <f>"2170732575"</f>
        <v>2170732575</v>
      </c>
      <c r="F1438" s="3" t="s">
        <v>17</v>
      </c>
      <c r="G1438" s="3" t="s">
        <v>18</v>
      </c>
      <c r="H1438" s="3" t="s">
        <v>18</v>
      </c>
      <c r="I1438" s="3" t="s">
        <v>29</v>
      </c>
      <c r="J1438" s="3" t="s">
        <v>980</v>
      </c>
      <c r="K1438" s="3" t="s">
        <v>1190</v>
      </c>
      <c r="L1438" s="4">
        <v>0.34027777777777773</v>
      </c>
      <c r="M1438" s="3" t="s">
        <v>1254</v>
      </c>
      <c r="N1438" s="3" t="s">
        <v>24</v>
      </c>
      <c r="O1438" s="3"/>
    </row>
    <row r="1439" spans="1:15">
      <c r="A1439" s="3" t="s">
        <v>15</v>
      </c>
      <c r="B1439" s="3" t="str">
        <f>"FES1162741148"</f>
        <v>FES1162741148</v>
      </c>
      <c r="C1439" s="3" t="s">
        <v>1042</v>
      </c>
      <c r="D1439" s="3">
        <v>1</v>
      </c>
      <c r="E1439" s="3" t="str">
        <f>"2170732782"</f>
        <v>2170732782</v>
      </c>
      <c r="F1439" s="3" t="s">
        <v>17</v>
      </c>
      <c r="G1439" s="3" t="s">
        <v>18</v>
      </c>
      <c r="H1439" s="3" t="s">
        <v>18</v>
      </c>
      <c r="I1439" s="3" t="s">
        <v>180</v>
      </c>
      <c r="J1439" s="3" t="s">
        <v>181</v>
      </c>
      <c r="K1439" s="3" t="s">
        <v>1190</v>
      </c>
      <c r="L1439" s="4">
        <v>0.4375</v>
      </c>
      <c r="M1439" s="3" t="s">
        <v>1372</v>
      </c>
      <c r="N1439" s="3" t="s">
        <v>24</v>
      </c>
      <c r="O1439" s="3"/>
    </row>
    <row r="1440" spans="1:15">
      <c r="A1440" s="3" t="s">
        <v>15</v>
      </c>
      <c r="B1440" s="3" t="str">
        <f>"FES1162741099"</f>
        <v>FES1162741099</v>
      </c>
      <c r="C1440" s="3" t="s">
        <v>1042</v>
      </c>
      <c r="D1440" s="3">
        <v>1</v>
      </c>
      <c r="E1440" s="3" t="str">
        <f>"2170730550"</f>
        <v>2170730550</v>
      </c>
      <c r="F1440" s="3" t="s">
        <v>17</v>
      </c>
      <c r="G1440" s="3" t="s">
        <v>18</v>
      </c>
      <c r="H1440" s="3" t="s">
        <v>18</v>
      </c>
      <c r="I1440" s="3" t="s">
        <v>33</v>
      </c>
      <c r="J1440" s="3" t="s">
        <v>872</v>
      </c>
      <c r="K1440" s="3" t="s">
        <v>1190</v>
      </c>
      <c r="L1440" s="4">
        <v>0.34722222222222227</v>
      </c>
      <c r="M1440" s="3" t="s">
        <v>873</v>
      </c>
      <c r="N1440" s="3" t="s">
        <v>24</v>
      </c>
      <c r="O1440" s="3"/>
    </row>
    <row r="1441" spans="1:15">
      <c r="A1441" s="3" t="s">
        <v>15</v>
      </c>
      <c r="B1441" s="3" t="str">
        <f>"FES1162741046"</f>
        <v>FES1162741046</v>
      </c>
      <c r="C1441" s="3" t="s">
        <v>1042</v>
      </c>
      <c r="D1441" s="3">
        <v>1</v>
      </c>
      <c r="E1441" s="3" t="str">
        <f>"2170732720"</f>
        <v>2170732720</v>
      </c>
      <c r="F1441" s="3" t="s">
        <v>17</v>
      </c>
      <c r="G1441" s="3" t="s">
        <v>18</v>
      </c>
      <c r="H1441" s="3" t="s">
        <v>18</v>
      </c>
      <c r="I1441" s="3" t="s">
        <v>206</v>
      </c>
      <c r="J1441" s="3" t="s">
        <v>207</v>
      </c>
      <c r="K1441" s="3" t="s">
        <v>1190</v>
      </c>
      <c r="L1441" s="4">
        <v>0.33333333333333331</v>
      </c>
      <c r="M1441" s="3" t="s">
        <v>725</v>
      </c>
      <c r="N1441" s="3" t="s">
        <v>24</v>
      </c>
      <c r="O1441" s="3"/>
    </row>
    <row r="1442" spans="1:15">
      <c r="A1442" s="3" t="s">
        <v>15</v>
      </c>
      <c r="B1442" s="3" t="str">
        <f>"FES1162741097"</f>
        <v>FES1162741097</v>
      </c>
      <c r="C1442" s="3" t="s">
        <v>1042</v>
      </c>
      <c r="D1442" s="3">
        <v>1</v>
      </c>
      <c r="E1442" s="3" t="str">
        <f>"2170730114"</f>
        <v>2170730114</v>
      </c>
      <c r="F1442" s="3" t="s">
        <v>17</v>
      </c>
      <c r="G1442" s="3" t="s">
        <v>18</v>
      </c>
      <c r="H1442" s="3" t="s">
        <v>18</v>
      </c>
      <c r="I1442" s="3" t="s">
        <v>168</v>
      </c>
      <c r="J1442" s="3" t="s">
        <v>302</v>
      </c>
      <c r="K1442" s="3" t="s">
        <v>1190</v>
      </c>
      <c r="L1442" s="4">
        <v>0.36805555555555558</v>
      </c>
      <c r="M1442" s="3" t="s">
        <v>196</v>
      </c>
      <c r="N1442" s="3" t="s">
        <v>24</v>
      </c>
      <c r="O1442" s="3"/>
    </row>
    <row r="1443" spans="1:15">
      <c r="A1443" s="3" t="s">
        <v>15</v>
      </c>
      <c r="B1443" s="3" t="str">
        <f>"FES1162741063"</f>
        <v>FES1162741063</v>
      </c>
      <c r="C1443" s="3" t="s">
        <v>1042</v>
      </c>
      <c r="D1443" s="3">
        <v>1</v>
      </c>
      <c r="E1443" s="3" t="str">
        <f>"2170732746"</f>
        <v>2170732746</v>
      </c>
      <c r="F1443" s="3" t="s">
        <v>528</v>
      </c>
      <c r="G1443" s="3" t="s">
        <v>948</v>
      </c>
      <c r="H1443" s="3" t="s">
        <v>948</v>
      </c>
      <c r="I1443" s="3" t="s">
        <v>151</v>
      </c>
      <c r="J1443" s="3" t="s">
        <v>1373</v>
      </c>
      <c r="K1443" s="3" t="s">
        <v>1190</v>
      </c>
      <c r="L1443" s="4">
        <v>0.39097222222222222</v>
      </c>
      <c r="M1443" s="3" t="s">
        <v>346</v>
      </c>
      <c r="N1443" s="3" t="s">
        <v>24</v>
      </c>
      <c r="O1443" s="3"/>
    </row>
    <row r="1444" spans="1:15">
      <c r="A1444" s="3" t="s">
        <v>15</v>
      </c>
      <c r="B1444" s="3" t="str">
        <f>"FES1162741184"</f>
        <v>FES1162741184</v>
      </c>
      <c r="C1444" s="3" t="s">
        <v>1042</v>
      </c>
      <c r="D1444" s="3">
        <v>1</v>
      </c>
      <c r="E1444" s="3" t="str">
        <f>"2170732799"</f>
        <v>2170732799</v>
      </c>
      <c r="F1444" s="3" t="s">
        <v>17</v>
      </c>
      <c r="G1444" s="3" t="s">
        <v>18</v>
      </c>
      <c r="H1444" s="3" t="s">
        <v>18</v>
      </c>
      <c r="I1444" s="3" t="s">
        <v>171</v>
      </c>
      <c r="J1444" s="3" t="s">
        <v>172</v>
      </c>
      <c r="K1444" s="3" t="s">
        <v>1190</v>
      </c>
      <c r="L1444" s="4">
        <v>0.3743055555555555</v>
      </c>
      <c r="M1444" s="3" t="s">
        <v>28</v>
      </c>
      <c r="N1444" s="3" t="s">
        <v>24</v>
      </c>
      <c r="O1444" s="3"/>
    </row>
    <row r="1445" spans="1:15">
      <c r="A1445" s="3" t="s">
        <v>15</v>
      </c>
      <c r="B1445" s="3" t="str">
        <f>"FES1162741249"</f>
        <v>FES1162741249</v>
      </c>
      <c r="C1445" s="3" t="s">
        <v>1042</v>
      </c>
      <c r="D1445" s="3">
        <v>1</v>
      </c>
      <c r="E1445" s="3" t="str">
        <f>"2170732872"</f>
        <v>2170732872</v>
      </c>
      <c r="F1445" s="3" t="s">
        <v>17</v>
      </c>
      <c r="G1445" s="3" t="s">
        <v>18</v>
      </c>
      <c r="H1445" s="3" t="s">
        <v>36</v>
      </c>
      <c r="I1445" s="3" t="s">
        <v>37</v>
      </c>
      <c r="J1445" s="3" t="s">
        <v>585</v>
      </c>
      <c r="K1445" s="3" t="s">
        <v>1190</v>
      </c>
      <c r="L1445" s="4">
        <v>0.40486111111111112</v>
      </c>
      <c r="M1445" s="3" t="s">
        <v>862</v>
      </c>
      <c r="N1445" s="3" t="s">
        <v>24</v>
      </c>
      <c r="O1445" s="3"/>
    </row>
    <row r="1446" spans="1:15">
      <c r="A1446" s="3" t="s">
        <v>15</v>
      </c>
      <c r="B1446" s="3" t="str">
        <f>"FES1162741048"</f>
        <v>FES1162741048</v>
      </c>
      <c r="C1446" s="3" t="s">
        <v>1042</v>
      </c>
      <c r="D1446" s="3">
        <v>1</v>
      </c>
      <c r="E1446" s="3" t="str">
        <f>"2170732722"</f>
        <v>2170732722</v>
      </c>
      <c r="F1446" s="3" t="s">
        <v>17</v>
      </c>
      <c r="G1446" s="3" t="s">
        <v>18</v>
      </c>
      <c r="H1446" s="3" t="s">
        <v>537</v>
      </c>
      <c r="I1446" s="3" t="s">
        <v>608</v>
      </c>
      <c r="J1446" s="3" t="s">
        <v>1374</v>
      </c>
      <c r="K1446" s="3" t="s">
        <v>1190</v>
      </c>
      <c r="L1446" s="4">
        <v>0.56666666666666665</v>
      </c>
      <c r="M1446" s="3" t="s">
        <v>732</v>
      </c>
      <c r="N1446" s="3" t="s">
        <v>24</v>
      </c>
      <c r="O1446" s="3"/>
    </row>
    <row r="1447" spans="1:15">
      <c r="A1447" s="5" t="s">
        <v>15</v>
      </c>
      <c r="B1447" s="5" t="str">
        <f>"FES1162741182"</f>
        <v>FES1162741182</v>
      </c>
      <c r="C1447" s="5" t="s">
        <v>1042</v>
      </c>
      <c r="D1447" s="5">
        <v>1</v>
      </c>
      <c r="E1447" s="5" t="str">
        <f>"2170732800"</f>
        <v>2170732800</v>
      </c>
      <c r="F1447" s="5" t="s">
        <v>17</v>
      </c>
      <c r="G1447" s="5" t="s">
        <v>18</v>
      </c>
      <c r="H1447" s="5" t="s">
        <v>18</v>
      </c>
      <c r="I1447" s="5" t="s">
        <v>29</v>
      </c>
      <c r="J1447" s="5" t="s">
        <v>1375</v>
      </c>
      <c r="K1447" s="5" t="s">
        <v>1190</v>
      </c>
      <c r="L1447" s="6">
        <v>0.34722222222222227</v>
      </c>
      <c r="M1447" s="5" t="s">
        <v>1376</v>
      </c>
      <c r="N1447" s="5" t="s">
        <v>24</v>
      </c>
      <c r="O1447" s="5"/>
    </row>
    <row r="1448" spans="1:15">
      <c r="A1448" s="5" t="s">
        <v>15</v>
      </c>
      <c r="B1448" s="5" t="str">
        <f>"FES1162741185"</f>
        <v>FES1162741185</v>
      </c>
      <c r="C1448" s="5" t="s">
        <v>1042</v>
      </c>
      <c r="D1448" s="5">
        <v>1</v>
      </c>
      <c r="E1448" s="5" t="str">
        <f>"2170732801"</f>
        <v>2170732801</v>
      </c>
      <c r="F1448" s="5" t="s">
        <v>17</v>
      </c>
      <c r="G1448" s="5" t="s">
        <v>18</v>
      </c>
      <c r="H1448" s="5" t="s">
        <v>18</v>
      </c>
      <c r="I1448" s="5" t="s">
        <v>313</v>
      </c>
      <c r="J1448" s="5" t="s">
        <v>1377</v>
      </c>
      <c r="K1448" s="5" t="s">
        <v>1190</v>
      </c>
      <c r="L1448" s="6">
        <v>0.39930555555555558</v>
      </c>
      <c r="M1448" s="5" t="s">
        <v>1378</v>
      </c>
      <c r="N1448" s="5" t="s">
        <v>24</v>
      </c>
      <c r="O1448" s="5"/>
    </row>
    <row r="1449" spans="1:15">
      <c r="A1449" s="5" t="s">
        <v>15</v>
      </c>
      <c r="B1449" s="5" t="str">
        <f>"FES1162741196"</f>
        <v>FES1162741196</v>
      </c>
      <c r="C1449" s="5" t="s">
        <v>1042</v>
      </c>
      <c r="D1449" s="5">
        <v>1</v>
      </c>
      <c r="E1449" s="5" t="str">
        <f>"2170732814"</f>
        <v>2170732814</v>
      </c>
      <c r="F1449" s="5" t="s">
        <v>17</v>
      </c>
      <c r="G1449" s="5" t="s">
        <v>18</v>
      </c>
      <c r="H1449" s="5" t="s">
        <v>18</v>
      </c>
      <c r="I1449" s="5" t="s">
        <v>171</v>
      </c>
      <c r="J1449" s="5" t="s">
        <v>369</v>
      </c>
      <c r="K1449" s="5" t="s">
        <v>1190</v>
      </c>
      <c r="L1449" s="6">
        <v>0.35902777777777778</v>
      </c>
      <c r="M1449" s="5" t="s">
        <v>1050</v>
      </c>
      <c r="N1449" s="5" t="s">
        <v>24</v>
      </c>
      <c r="O1449" s="5"/>
    </row>
    <row r="1450" spans="1:15">
      <c r="A1450" s="5" t="s">
        <v>15</v>
      </c>
      <c r="B1450" s="5" t="str">
        <f>"FES1162741255"</f>
        <v>FES1162741255</v>
      </c>
      <c r="C1450" s="5" t="s">
        <v>1042</v>
      </c>
      <c r="D1450" s="5">
        <v>1</v>
      </c>
      <c r="E1450" s="5" t="str">
        <f>"2170732884"</f>
        <v>2170732884</v>
      </c>
      <c r="F1450" s="5" t="s">
        <v>528</v>
      </c>
      <c r="G1450" s="5" t="s">
        <v>948</v>
      </c>
      <c r="H1450" s="5" t="s">
        <v>36</v>
      </c>
      <c r="I1450" s="5" t="s">
        <v>37</v>
      </c>
      <c r="J1450" s="5" t="s">
        <v>275</v>
      </c>
      <c r="K1450" s="5" t="s">
        <v>1228</v>
      </c>
      <c r="L1450" s="6">
        <v>0.35902777777777778</v>
      </c>
      <c r="M1450" s="5" t="s">
        <v>1379</v>
      </c>
      <c r="N1450" s="5" t="s">
        <v>24</v>
      </c>
      <c r="O1450" s="5"/>
    </row>
    <row r="1451" spans="1:15">
      <c r="A1451" s="5" t="s">
        <v>15</v>
      </c>
      <c r="B1451" s="5" t="str">
        <f>"FES1162741037"</f>
        <v>FES1162741037</v>
      </c>
      <c r="C1451" s="5" t="s">
        <v>1042</v>
      </c>
      <c r="D1451" s="5">
        <v>1</v>
      </c>
      <c r="E1451" s="5" t="str">
        <f>"2170732705"</f>
        <v>2170732705</v>
      </c>
      <c r="F1451" s="5" t="s">
        <v>17</v>
      </c>
      <c r="G1451" s="5" t="s">
        <v>18</v>
      </c>
      <c r="H1451" s="5" t="s">
        <v>18</v>
      </c>
      <c r="I1451" s="5" t="s">
        <v>171</v>
      </c>
      <c r="J1451" s="5" t="s">
        <v>194</v>
      </c>
      <c r="K1451" s="5" t="s">
        <v>1190</v>
      </c>
      <c r="L1451" s="6">
        <v>0.36388888888888887</v>
      </c>
      <c r="M1451" s="5" t="s">
        <v>28</v>
      </c>
      <c r="N1451" s="5" t="s">
        <v>24</v>
      </c>
      <c r="O1451" s="5"/>
    </row>
    <row r="1452" spans="1:15">
      <c r="A1452" s="5" t="s">
        <v>15</v>
      </c>
      <c r="B1452" s="5" t="str">
        <f>"FES1162741169"</f>
        <v>FES1162741169</v>
      </c>
      <c r="C1452" s="5" t="s">
        <v>1042</v>
      </c>
      <c r="D1452" s="5">
        <v>1</v>
      </c>
      <c r="E1452" s="5" t="str">
        <f>"2170732794"</f>
        <v>2170732794</v>
      </c>
      <c r="F1452" s="5" t="s">
        <v>17</v>
      </c>
      <c r="G1452" s="5" t="s">
        <v>18</v>
      </c>
      <c r="H1452" s="5" t="s">
        <v>18</v>
      </c>
      <c r="I1452" s="5" t="s">
        <v>171</v>
      </c>
      <c r="J1452" s="5" t="s">
        <v>642</v>
      </c>
      <c r="K1452" s="5" t="s">
        <v>1190</v>
      </c>
      <c r="L1452" s="6">
        <v>0.3263888888888889</v>
      </c>
      <c r="M1452" s="5" t="s">
        <v>643</v>
      </c>
      <c r="N1452" s="5" t="s">
        <v>24</v>
      </c>
      <c r="O1452" s="5"/>
    </row>
    <row r="1453" spans="1:15">
      <c r="A1453" s="5" t="s">
        <v>15</v>
      </c>
      <c r="B1453" s="5" t="str">
        <f>"FES1162741042"</f>
        <v>FES1162741042</v>
      </c>
      <c r="C1453" s="5" t="s">
        <v>1042</v>
      </c>
      <c r="D1453" s="5">
        <v>1</v>
      </c>
      <c r="E1453" s="5" t="str">
        <f>"2170732713"</f>
        <v>2170732713</v>
      </c>
      <c r="F1453" s="5" t="s">
        <v>17</v>
      </c>
      <c r="G1453" s="5" t="s">
        <v>18</v>
      </c>
      <c r="H1453" s="5" t="s">
        <v>18</v>
      </c>
      <c r="I1453" s="5" t="s">
        <v>29</v>
      </c>
      <c r="J1453" s="5" t="s">
        <v>307</v>
      </c>
      <c r="K1453" s="5" t="s">
        <v>1190</v>
      </c>
      <c r="L1453" s="6">
        <v>0.32916666666666666</v>
      </c>
      <c r="M1453" s="5" t="s">
        <v>308</v>
      </c>
      <c r="N1453" s="5" t="s">
        <v>24</v>
      </c>
      <c r="O1453" s="5"/>
    </row>
    <row r="1454" spans="1:15">
      <c r="A1454" s="5" t="s">
        <v>15</v>
      </c>
      <c r="B1454" s="5" t="str">
        <f>"FES1162741219"</f>
        <v>FES1162741219</v>
      </c>
      <c r="C1454" s="5" t="s">
        <v>1042</v>
      </c>
      <c r="D1454" s="5">
        <v>1</v>
      </c>
      <c r="E1454" s="5" t="str">
        <f>"2170732843"</f>
        <v>2170732843</v>
      </c>
      <c r="F1454" s="5" t="s">
        <v>17</v>
      </c>
      <c r="G1454" s="5" t="s">
        <v>18</v>
      </c>
      <c r="H1454" s="5" t="s">
        <v>66</v>
      </c>
      <c r="I1454" s="5" t="s">
        <v>67</v>
      </c>
      <c r="J1454" s="5" t="s">
        <v>1380</v>
      </c>
      <c r="K1454" s="5" t="s">
        <v>1190</v>
      </c>
      <c r="L1454" s="6">
        <v>0.49652777777777773</v>
      </c>
      <c r="M1454" s="5" t="s">
        <v>1381</v>
      </c>
      <c r="N1454" s="5" t="s">
        <v>24</v>
      </c>
      <c r="O1454" s="5"/>
    </row>
    <row r="1455" spans="1:15">
      <c r="A1455" s="5" t="s">
        <v>15</v>
      </c>
      <c r="B1455" s="5" t="str">
        <f>"FES1162741276"</f>
        <v>FES1162741276</v>
      </c>
      <c r="C1455" s="5" t="s">
        <v>1042</v>
      </c>
      <c r="D1455" s="5">
        <v>1</v>
      </c>
      <c r="E1455" s="5" t="str">
        <f>"2170732905"</f>
        <v>2170732905</v>
      </c>
      <c r="F1455" s="5" t="s">
        <v>17</v>
      </c>
      <c r="G1455" s="5" t="s">
        <v>18</v>
      </c>
      <c r="H1455" s="5" t="s">
        <v>36</v>
      </c>
      <c r="I1455" s="5" t="s">
        <v>174</v>
      </c>
      <c r="J1455" s="5" t="s">
        <v>1382</v>
      </c>
      <c r="K1455" s="5" t="s">
        <v>1190</v>
      </c>
      <c r="L1455" s="6">
        <v>0.33333333333333331</v>
      </c>
      <c r="M1455" s="5" t="s">
        <v>1383</v>
      </c>
      <c r="N1455" s="5" t="s">
        <v>24</v>
      </c>
      <c r="O1455" s="5"/>
    </row>
    <row r="1456" spans="1:15">
      <c r="A1456" s="3" t="s">
        <v>15</v>
      </c>
      <c r="B1456" s="3" t="str">
        <f>"FES1162741125"</f>
        <v>FES1162741125</v>
      </c>
      <c r="C1456" s="3" t="s">
        <v>1042</v>
      </c>
      <c r="D1456" s="3">
        <v>1</v>
      </c>
      <c r="E1456" s="3" t="str">
        <f>"2170731318"</f>
        <v>2170731318</v>
      </c>
      <c r="F1456" s="3" t="s">
        <v>17</v>
      </c>
      <c r="G1456" s="3" t="s">
        <v>18</v>
      </c>
      <c r="H1456" s="3" t="s">
        <v>40</v>
      </c>
      <c r="I1456" s="3" t="s">
        <v>41</v>
      </c>
      <c r="J1456" s="3" t="s">
        <v>1384</v>
      </c>
      <c r="K1456" s="3" t="s">
        <v>1190</v>
      </c>
      <c r="L1456" s="4">
        <v>0.42986111111111108</v>
      </c>
      <c r="M1456" s="3" t="s">
        <v>472</v>
      </c>
      <c r="N1456" s="3" t="s">
        <v>24</v>
      </c>
      <c r="O1456" s="3"/>
    </row>
    <row r="1457" spans="1:15">
      <c r="A1457" s="3" t="s">
        <v>15</v>
      </c>
      <c r="B1457" s="3" t="str">
        <f>"FES1162741291"</f>
        <v>FES1162741291</v>
      </c>
      <c r="C1457" s="3" t="s">
        <v>1042</v>
      </c>
      <c r="D1457" s="3">
        <v>1</v>
      </c>
      <c r="E1457" s="3" t="str">
        <f>"2170731665"</f>
        <v>2170731665</v>
      </c>
      <c r="F1457" s="3" t="s">
        <v>17</v>
      </c>
      <c r="G1457" s="3" t="s">
        <v>18</v>
      </c>
      <c r="H1457" s="3" t="s">
        <v>36</v>
      </c>
      <c r="I1457" s="3" t="s">
        <v>37</v>
      </c>
      <c r="J1457" s="3" t="s">
        <v>434</v>
      </c>
      <c r="K1457" s="3" t="s">
        <v>1190</v>
      </c>
      <c r="L1457" s="4">
        <v>0.34513888888888888</v>
      </c>
      <c r="M1457" s="3" t="s">
        <v>435</v>
      </c>
      <c r="N1457" s="3" t="s">
        <v>24</v>
      </c>
      <c r="O1457" s="3"/>
    </row>
    <row r="1458" spans="1:15">
      <c r="A1458" s="3" t="s">
        <v>15</v>
      </c>
      <c r="B1458" s="3" t="str">
        <f>"FES1162741257"</f>
        <v>FES1162741257</v>
      </c>
      <c r="C1458" s="3" t="s">
        <v>1042</v>
      </c>
      <c r="D1458" s="3">
        <v>1</v>
      </c>
      <c r="E1458" s="3" t="str">
        <f>"2170732886"</f>
        <v>2170732886</v>
      </c>
      <c r="F1458" s="3" t="s">
        <v>528</v>
      </c>
      <c r="G1458" s="3" t="s">
        <v>948</v>
      </c>
      <c r="H1458" s="3" t="s">
        <v>948</v>
      </c>
      <c r="I1458" s="3" t="s">
        <v>1070</v>
      </c>
      <c r="J1458" s="3" t="s">
        <v>1385</v>
      </c>
      <c r="K1458" s="3" t="s">
        <v>1190</v>
      </c>
      <c r="L1458" s="4">
        <v>0.37222222222222223</v>
      </c>
      <c r="M1458" s="3" t="s">
        <v>1386</v>
      </c>
      <c r="N1458" s="3" t="s">
        <v>24</v>
      </c>
      <c r="O1458" s="3"/>
    </row>
    <row r="1459" spans="1:15">
      <c r="A1459" s="3" t="s">
        <v>15</v>
      </c>
      <c r="B1459" s="3" t="str">
        <f>"FES1162741218"</f>
        <v>FES1162741218</v>
      </c>
      <c r="C1459" s="3" t="s">
        <v>1042</v>
      </c>
      <c r="D1459" s="3">
        <v>1</v>
      </c>
      <c r="E1459" s="3" t="str">
        <f>"2170732839"</f>
        <v>2170732839</v>
      </c>
      <c r="F1459" s="3" t="s">
        <v>17</v>
      </c>
      <c r="G1459" s="3" t="s">
        <v>18</v>
      </c>
      <c r="H1459" s="3" t="s">
        <v>40</v>
      </c>
      <c r="I1459" s="3" t="s">
        <v>41</v>
      </c>
      <c r="J1459" s="3" t="s">
        <v>1338</v>
      </c>
      <c r="K1459" s="3" t="s">
        <v>1190</v>
      </c>
      <c r="L1459" s="4">
        <v>0.43472222222222223</v>
      </c>
      <c r="M1459" s="3" t="s">
        <v>1339</v>
      </c>
      <c r="N1459" s="3" t="s">
        <v>24</v>
      </c>
      <c r="O1459" s="3"/>
    </row>
    <row r="1460" spans="1:15">
      <c r="A1460" s="3" t="s">
        <v>15</v>
      </c>
      <c r="B1460" s="3" t="str">
        <f>"FES1162741190"</f>
        <v>FES1162741190</v>
      </c>
      <c r="C1460" s="3" t="s">
        <v>1042</v>
      </c>
      <c r="D1460" s="3">
        <v>1</v>
      </c>
      <c r="E1460" s="3" t="str">
        <f>"2170732807"</f>
        <v>2170732807</v>
      </c>
      <c r="F1460" s="3" t="s">
        <v>17</v>
      </c>
      <c r="G1460" s="3" t="s">
        <v>18</v>
      </c>
      <c r="H1460" s="3" t="s">
        <v>19</v>
      </c>
      <c r="I1460" s="3" t="s">
        <v>51</v>
      </c>
      <c r="J1460" s="3" t="s">
        <v>52</v>
      </c>
      <c r="K1460" s="3" t="s">
        <v>1190</v>
      </c>
      <c r="L1460" s="4">
        <v>0.32916666666666666</v>
      </c>
      <c r="M1460" s="3" t="s">
        <v>53</v>
      </c>
      <c r="N1460" s="3" t="s">
        <v>24</v>
      </c>
      <c r="O1460" s="3"/>
    </row>
    <row r="1461" spans="1:15">
      <c r="A1461" s="3" t="s">
        <v>15</v>
      </c>
      <c r="B1461" s="3" t="str">
        <f>"FES1162741250"</f>
        <v>FES1162741250</v>
      </c>
      <c r="C1461" s="3" t="s">
        <v>1042</v>
      </c>
      <c r="D1461" s="3">
        <v>1</v>
      </c>
      <c r="E1461" s="3" t="str">
        <f>"2170732873"</f>
        <v>2170732873</v>
      </c>
      <c r="F1461" s="3" t="s">
        <v>17</v>
      </c>
      <c r="G1461" s="3" t="s">
        <v>18</v>
      </c>
      <c r="H1461" s="3" t="s">
        <v>66</v>
      </c>
      <c r="I1461" s="3" t="s">
        <v>67</v>
      </c>
      <c r="J1461" s="3" t="s">
        <v>138</v>
      </c>
      <c r="K1461" s="3" t="s">
        <v>1190</v>
      </c>
      <c r="L1461" s="4">
        <v>0.38194444444444442</v>
      </c>
      <c r="M1461" s="3" t="s">
        <v>1014</v>
      </c>
      <c r="N1461" s="3" t="s">
        <v>24</v>
      </c>
      <c r="O1461" s="3"/>
    </row>
    <row r="1462" spans="1:15">
      <c r="A1462" s="3" t="s">
        <v>15</v>
      </c>
      <c r="B1462" s="3" t="str">
        <f>"FES1162741264"</f>
        <v>FES1162741264</v>
      </c>
      <c r="C1462" s="3" t="s">
        <v>1042</v>
      </c>
      <c r="D1462" s="3">
        <v>1</v>
      </c>
      <c r="E1462" s="3" t="str">
        <f>"2170732895"</f>
        <v>2170732895</v>
      </c>
      <c r="F1462" s="3" t="s">
        <v>17</v>
      </c>
      <c r="G1462" s="3" t="s">
        <v>18</v>
      </c>
      <c r="H1462" s="3" t="s">
        <v>66</v>
      </c>
      <c r="I1462" s="3" t="s">
        <v>67</v>
      </c>
      <c r="J1462" s="3" t="s">
        <v>975</v>
      </c>
      <c r="K1462" s="3" t="s">
        <v>1190</v>
      </c>
      <c r="L1462" s="4">
        <v>0.39305555555555555</v>
      </c>
      <c r="M1462" s="3" t="s">
        <v>907</v>
      </c>
      <c r="N1462" s="3" t="s">
        <v>24</v>
      </c>
      <c r="O1462" s="3"/>
    </row>
    <row r="1463" spans="1:15">
      <c r="A1463" s="3" t="s">
        <v>15</v>
      </c>
      <c r="B1463" s="3" t="str">
        <f>"FES1162741247"</f>
        <v>FES1162741247</v>
      </c>
      <c r="C1463" s="3" t="s">
        <v>1042</v>
      </c>
      <c r="D1463" s="3">
        <v>1</v>
      </c>
      <c r="E1463" s="3" t="str">
        <f>"2170732879"</f>
        <v>2170732879</v>
      </c>
      <c r="F1463" s="3" t="s">
        <v>17</v>
      </c>
      <c r="G1463" s="3" t="s">
        <v>18</v>
      </c>
      <c r="H1463" s="3" t="s">
        <v>18</v>
      </c>
      <c r="I1463" s="3" t="s">
        <v>29</v>
      </c>
      <c r="J1463" s="3" t="s">
        <v>487</v>
      </c>
      <c r="K1463" s="3" t="s">
        <v>1190</v>
      </c>
      <c r="L1463" s="4">
        <v>0.375</v>
      </c>
      <c r="M1463" s="3" t="s">
        <v>1387</v>
      </c>
      <c r="N1463" s="3" t="s">
        <v>24</v>
      </c>
      <c r="O1463" s="3"/>
    </row>
    <row r="1464" spans="1:15">
      <c r="A1464" s="5" t="s">
        <v>15</v>
      </c>
      <c r="B1464" s="5" t="str">
        <f>"FES1162741180"</f>
        <v>FES1162741180</v>
      </c>
      <c r="C1464" s="5" t="s">
        <v>1042</v>
      </c>
      <c r="D1464" s="5">
        <v>1</v>
      </c>
      <c r="E1464" s="5" t="str">
        <f>"2170732797"</f>
        <v>2170732797</v>
      </c>
      <c r="F1464" s="5" t="s">
        <v>17</v>
      </c>
      <c r="G1464" s="5" t="s">
        <v>18</v>
      </c>
      <c r="H1464" s="5" t="s">
        <v>18</v>
      </c>
      <c r="I1464" s="5" t="s">
        <v>151</v>
      </c>
      <c r="J1464" s="5" t="s">
        <v>556</v>
      </c>
      <c r="K1464" s="5" t="s">
        <v>1190</v>
      </c>
      <c r="L1464" s="6">
        <v>0.34375</v>
      </c>
      <c r="M1464" s="5" t="s">
        <v>630</v>
      </c>
      <c r="N1464" s="5" t="s">
        <v>24</v>
      </c>
      <c r="O1464" s="5"/>
    </row>
    <row r="1465" spans="1:15">
      <c r="A1465" s="5" t="s">
        <v>15</v>
      </c>
      <c r="B1465" s="5" t="str">
        <f>"FES1162741260"</f>
        <v>FES1162741260</v>
      </c>
      <c r="C1465" s="5" t="s">
        <v>1042</v>
      </c>
      <c r="D1465" s="5">
        <v>1</v>
      </c>
      <c r="E1465" s="5" t="str">
        <f>"2170732891"</f>
        <v>2170732891</v>
      </c>
      <c r="F1465" s="5" t="s">
        <v>17</v>
      </c>
      <c r="G1465" s="5" t="s">
        <v>18</v>
      </c>
      <c r="H1465" s="5" t="s">
        <v>66</v>
      </c>
      <c r="I1465" s="5" t="s">
        <v>67</v>
      </c>
      <c r="J1465" s="5" t="s">
        <v>287</v>
      </c>
      <c r="K1465" s="5" t="s">
        <v>1190</v>
      </c>
      <c r="L1465" s="6">
        <v>0.33263888888888887</v>
      </c>
      <c r="M1465" s="5" t="s">
        <v>288</v>
      </c>
      <c r="N1465" s="5" t="s">
        <v>24</v>
      </c>
      <c r="O1465" s="5"/>
    </row>
    <row r="1466" spans="1:15">
      <c r="A1466" s="5" t="s">
        <v>15</v>
      </c>
      <c r="B1466" s="5" t="str">
        <f>"FES1162741265"</f>
        <v>FES1162741265</v>
      </c>
      <c r="C1466" s="5" t="s">
        <v>1042</v>
      </c>
      <c r="D1466" s="5">
        <v>1</v>
      </c>
      <c r="E1466" s="5" t="str">
        <f>"2170732896"</f>
        <v>2170732896</v>
      </c>
      <c r="F1466" s="5" t="s">
        <v>17</v>
      </c>
      <c r="G1466" s="5" t="s">
        <v>18</v>
      </c>
      <c r="H1466" s="5" t="s">
        <v>100</v>
      </c>
      <c r="I1466" s="5" t="s">
        <v>262</v>
      </c>
      <c r="J1466" s="5" t="s">
        <v>409</v>
      </c>
      <c r="K1466" s="5" t="s">
        <v>1228</v>
      </c>
      <c r="L1466" s="6">
        <v>0.33263888888888887</v>
      </c>
      <c r="M1466" s="5" t="s">
        <v>1388</v>
      </c>
      <c r="N1466" s="5" t="s">
        <v>24</v>
      </c>
      <c r="O1466" s="5"/>
    </row>
    <row r="1467" spans="1:15">
      <c r="A1467" s="5" t="s">
        <v>15</v>
      </c>
      <c r="B1467" s="5" t="str">
        <f>"FES1162741225"</f>
        <v>FES1162741225</v>
      </c>
      <c r="C1467" s="5" t="s">
        <v>1042</v>
      </c>
      <c r="D1467" s="5">
        <v>1</v>
      </c>
      <c r="E1467" s="5" t="str">
        <f>"2170732848"</f>
        <v>2170732848</v>
      </c>
      <c r="F1467" s="5" t="s">
        <v>17</v>
      </c>
      <c r="G1467" s="5" t="s">
        <v>18</v>
      </c>
      <c r="H1467" s="5" t="s">
        <v>18</v>
      </c>
      <c r="I1467" s="5" t="s">
        <v>33</v>
      </c>
      <c r="J1467" s="5" t="s">
        <v>34</v>
      </c>
      <c r="K1467" s="5" t="s">
        <v>1190</v>
      </c>
      <c r="L1467" s="6">
        <v>0.40763888888888888</v>
      </c>
      <c r="M1467" s="5" t="s">
        <v>945</v>
      </c>
      <c r="N1467" s="5" t="s">
        <v>24</v>
      </c>
      <c r="O1467" s="5"/>
    </row>
    <row r="1468" spans="1:15">
      <c r="A1468" s="5" t="s">
        <v>15</v>
      </c>
      <c r="B1468" s="5" t="str">
        <f>"FES1162741261"</f>
        <v>FES1162741261</v>
      </c>
      <c r="C1468" s="5" t="s">
        <v>1042</v>
      </c>
      <c r="D1468" s="5">
        <v>1</v>
      </c>
      <c r="E1468" s="5" t="str">
        <f>"2170732892"</f>
        <v>2170732892</v>
      </c>
      <c r="F1468" s="5" t="s">
        <v>17</v>
      </c>
      <c r="G1468" s="5" t="s">
        <v>18</v>
      </c>
      <c r="H1468" s="5" t="s">
        <v>100</v>
      </c>
      <c r="I1468" s="5" t="s">
        <v>262</v>
      </c>
      <c r="J1468" s="5" t="s">
        <v>409</v>
      </c>
      <c r="K1468" s="5" t="s">
        <v>1228</v>
      </c>
      <c r="L1468" s="6">
        <v>0.40763888888888888</v>
      </c>
      <c r="M1468" s="5" t="s">
        <v>1388</v>
      </c>
      <c r="N1468" s="5" t="s">
        <v>24</v>
      </c>
      <c r="O1468" s="5"/>
    </row>
    <row r="1469" spans="1:15">
      <c r="A1469" s="5" t="s">
        <v>15</v>
      </c>
      <c r="B1469" s="5" t="str">
        <f>"FES1162741278"</f>
        <v>FES1162741278</v>
      </c>
      <c r="C1469" s="5" t="s">
        <v>1042</v>
      </c>
      <c r="D1469" s="5">
        <v>1</v>
      </c>
      <c r="E1469" s="5" t="str">
        <f>"2170732907"</f>
        <v>2170732907</v>
      </c>
      <c r="F1469" s="5" t="s">
        <v>17</v>
      </c>
      <c r="G1469" s="5" t="s">
        <v>18</v>
      </c>
      <c r="H1469" s="5" t="s">
        <v>18</v>
      </c>
      <c r="I1469" s="5" t="s">
        <v>33</v>
      </c>
      <c r="J1469" s="5" t="s">
        <v>1135</v>
      </c>
      <c r="K1469" s="5" t="s">
        <v>1190</v>
      </c>
      <c r="L1469" s="6">
        <v>0.3444444444444445</v>
      </c>
      <c r="M1469" s="5" t="s">
        <v>1389</v>
      </c>
      <c r="N1469" s="5" t="s">
        <v>24</v>
      </c>
      <c r="O1469" s="5"/>
    </row>
    <row r="1470" spans="1:15">
      <c r="A1470" s="5" t="s">
        <v>15</v>
      </c>
      <c r="B1470" s="5" t="str">
        <f>"FES1162741201"</f>
        <v>FES1162741201</v>
      </c>
      <c r="C1470" s="5" t="s">
        <v>1042</v>
      </c>
      <c r="D1470" s="5">
        <v>1</v>
      </c>
      <c r="E1470" s="5" t="str">
        <f>"2170732822"</f>
        <v>2170732822</v>
      </c>
      <c r="F1470" s="5" t="s">
        <v>17</v>
      </c>
      <c r="G1470" s="5" t="s">
        <v>18</v>
      </c>
      <c r="H1470" s="5" t="s">
        <v>70</v>
      </c>
      <c r="I1470" s="5" t="s">
        <v>71</v>
      </c>
      <c r="J1470" s="5" t="s">
        <v>252</v>
      </c>
      <c r="K1470" s="5" t="s">
        <v>1190</v>
      </c>
      <c r="L1470" s="6">
        <v>0.35416666666666669</v>
      </c>
      <c r="M1470" s="5" t="s">
        <v>1390</v>
      </c>
      <c r="N1470" s="5" t="s">
        <v>24</v>
      </c>
      <c r="O1470" s="5"/>
    </row>
    <row r="1471" spans="1:15">
      <c r="A1471" s="5" t="s">
        <v>15</v>
      </c>
      <c r="B1471" s="5" t="str">
        <f>"FES1162740128"</f>
        <v>FES1162740128</v>
      </c>
      <c r="C1471" s="5" t="s">
        <v>1042</v>
      </c>
      <c r="D1471" s="5">
        <v>1</v>
      </c>
      <c r="E1471" s="5" t="str">
        <f>"2170731722"</f>
        <v>2170731722</v>
      </c>
      <c r="F1471" s="5" t="s">
        <v>17</v>
      </c>
      <c r="G1471" s="5" t="s">
        <v>18</v>
      </c>
      <c r="H1471" s="5" t="s">
        <v>19</v>
      </c>
      <c r="I1471" s="5" t="s">
        <v>20</v>
      </c>
      <c r="J1471" s="5" t="s">
        <v>223</v>
      </c>
      <c r="K1471" s="5" t="s">
        <v>1190</v>
      </c>
      <c r="L1471" s="6">
        <v>0.36805555555555558</v>
      </c>
      <c r="M1471" s="5" t="s">
        <v>1391</v>
      </c>
      <c r="N1471" s="5" t="s">
        <v>24</v>
      </c>
      <c r="O1471" s="5"/>
    </row>
    <row r="1472" spans="1:15">
      <c r="A1472" s="5" t="s">
        <v>15</v>
      </c>
      <c r="B1472" s="5" t="str">
        <f>"FES1162741267"</f>
        <v>FES1162741267</v>
      </c>
      <c r="C1472" s="5" t="s">
        <v>1042</v>
      </c>
      <c r="D1472" s="5">
        <v>1</v>
      </c>
      <c r="E1472" s="5" t="str">
        <f>"2170732899"</f>
        <v>2170732899</v>
      </c>
      <c r="F1472" s="5" t="s">
        <v>17</v>
      </c>
      <c r="G1472" s="5" t="s">
        <v>18</v>
      </c>
      <c r="H1472" s="5" t="s">
        <v>18</v>
      </c>
      <c r="I1472" s="5" t="s">
        <v>313</v>
      </c>
      <c r="J1472" s="5" t="s">
        <v>694</v>
      </c>
      <c r="K1472" s="5" t="s">
        <v>1190</v>
      </c>
      <c r="L1472" s="6">
        <v>0.38611111111111113</v>
      </c>
      <c r="M1472" s="5" t="s">
        <v>695</v>
      </c>
      <c r="N1472" s="5" t="s">
        <v>24</v>
      </c>
      <c r="O1472" s="5"/>
    </row>
    <row r="1473" spans="1:15">
      <c r="A1473" s="5" t="s">
        <v>15</v>
      </c>
      <c r="B1473" s="5" t="str">
        <f>"FES1162741282"</f>
        <v>FES1162741282</v>
      </c>
      <c r="C1473" s="5" t="s">
        <v>1042</v>
      </c>
      <c r="D1473" s="5">
        <v>1</v>
      </c>
      <c r="E1473" s="5" t="str">
        <f>"2170732914"</f>
        <v>2170732914</v>
      </c>
      <c r="F1473" s="5" t="s">
        <v>17</v>
      </c>
      <c r="G1473" s="5" t="s">
        <v>18</v>
      </c>
      <c r="H1473" s="5" t="s">
        <v>18</v>
      </c>
      <c r="I1473" s="5" t="s">
        <v>338</v>
      </c>
      <c r="J1473" s="5" t="s">
        <v>1392</v>
      </c>
      <c r="K1473" s="5" t="s">
        <v>1190</v>
      </c>
      <c r="L1473" s="6">
        <v>0.40833333333333338</v>
      </c>
      <c r="M1473" s="5" t="s">
        <v>1393</v>
      </c>
      <c r="N1473" s="5" t="s">
        <v>24</v>
      </c>
      <c r="O1473" s="5"/>
    </row>
    <row r="1474" spans="1:15">
      <c r="A1474" s="5" t="s">
        <v>15</v>
      </c>
      <c r="B1474" s="5" t="str">
        <f>"FES1162741268"</f>
        <v>FES1162741268</v>
      </c>
      <c r="C1474" s="5" t="s">
        <v>1042</v>
      </c>
      <c r="D1474" s="5">
        <v>1</v>
      </c>
      <c r="E1474" s="5" t="str">
        <f>"2170732900"</f>
        <v>2170732900</v>
      </c>
      <c r="F1474" s="5" t="s">
        <v>17</v>
      </c>
      <c r="G1474" s="5" t="s">
        <v>18</v>
      </c>
      <c r="H1474" s="5" t="s">
        <v>537</v>
      </c>
      <c r="I1474" s="5" t="s">
        <v>538</v>
      </c>
      <c r="J1474" s="5" t="s">
        <v>1106</v>
      </c>
      <c r="K1474" s="5" t="s">
        <v>1190</v>
      </c>
      <c r="L1474" s="6">
        <v>0.40763888888888888</v>
      </c>
      <c r="M1474" s="5" t="s">
        <v>1107</v>
      </c>
      <c r="N1474" s="5" t="s">
        <v>24</v>
      </c>
      <c r="O1474" s="5"/>
    </row>
    <row r="1475" spans="1:15">
      <c r="A1475" s="3" t="s">
        <v>15</v>
      </c>
      <c r="B1475" s="3" t="str">
        <f>"FES1162741290"</f>
        <v>FES1162741290</v>
      </c>
      <c r="C1475" s="3" t="s">
        <v>1042</v>
      </c>
      <c r="D1475" s="3">
        <v>1</v>
      </c>
      <c r="E1475" s="3" t="str">
        <f>"2170732923"</f>
        <v>2170732923</v>
      </c>
      <c r="F1475" s="3" t="s">
        <v>17</v>
      </c>
      <c r="G1475" s="3" t="s">
        <v>18</v>
      </c>
      <c r="H1475" s="3" t="s">
        <v>100</v>
      </c>
      <c r="I1475" s="3" t="s">
        <v>155</v>
      </c>
      <c r="J1475" s="3" t="s">
        <v>489</v>
      </c>
      <c r="K1475" s="3" t="s">
        <v>1190</v>
      </c>
      <c r="L1475" s="4">
        <v>0.4201388888888889</v>
      </c>
      <c r="M1475" s="3" t="s">
        <v>490</v>
      </c>
      <c r="N1475" s="3" t="s">
        <v>24</v>
      </c>
      <c r="O1475" s="3"/>
    </row>
    <row r="1476" spans="1:15">
      <c r="A1476" s="3" t="s">
        <v>15</v>
      </c>
      <c r="B1476" s="3" t="str">
        <f>"FES1162741297"</f>
        <v>FES1162741297</v>
      </c>
      <c r="C1476" s="3" t="s">
        <v>1042</v>
      </c>
      <c r="D1476" s="3">
        <v>1</v>
      </c>
      <c r="E1476" s="3" t="str">
        <f>"2170732933"</f>
        <v>2170732933</v>
      </c>
      <c r="F1476" s="3" t="s">
        <v>17</v>
      </c>
      <c r="G1476" s="3" t="s">
        <v>18</v>
      </c>
      <c r="H1476" s="3" t="s">
        <v>36</v>
      </c>
      <c r="I1476" s="3" t="s">
        <v>37</v>
      </c>
      <c r="J1476" s="3" t="s">
        <v>1394</v>
      </c>
      <c r="K1476" s="3" t="s">
        <v>1190</v>
      </c>
      <c r="L1476" s="4">
        <v>0.33819444444444446</v>
      </c>
      <c r="M1476" s="3" t="s">
        <v>1395</v>
      </c>
      <c r="N1476" s="3" t="s">
        <v>24</v>
      </c>
      <c r="O1476" s="3"/>
    </row>
    <row r="1477" spans="1:15">
      <c r="A1477" s="3" t="s">
        <v>15</v>
      </c>
      <c r="B1477" s="3" t="str">
        <f>"FES1162741289"</f>
        <v>FES1162741289</v>
      </c>
      <c r="C1477" s="3" t="s">
        <v>1042</v>
      </c>
      <c r="D1477" s="3">
        <v>1</v>
      </c>
      <c r="E1477" s="3" t="str">
        <f>"2170732920"</f>
        <v>2170732920</v>
      </c>
      <c r="F1477" s="3" t="s">
        <v>17</v>
      </c>
      <c r="G1477" s="3" t="s">
        <v>18</v>
      </c>
      <c r="H1477" s="3" t="s">
        <v>100</v>
      </c>
      <c r="I1477" s="3" t="s">
        <v>101</v>
      </c>
      <c r="J1477" s="3" t="s">
        <v>265</v>
      </c>
      <c r="K1477" s="3" t="s">
        <v>1190</v>
      </c>
      <c r="L1477" s="4">
        <v>0.4145833333333333</v>
      </c>
      <c r="M1477" s="3" t="s">
        <v>1396</v>
      </c>
      <c r="N1477" s="3" t="s">
        <v>24</v>
      </c>
      <c r="O1477" s="3"/>
    </row>
    <row r="1478" spans="1:15">
      <c r="A1478" s="3" t="s">
        <v>15</v>
      </c>
      <c r="B1478" s="3" t="str">
        <f>"FES1162741281"</f>
        <v>FES1162741281</v>
      </c>
      <c r="C1478" s="3" t="s">
        <v>1042</v>
      </c>
      <c r="D1478" s="3">
        <v>1</v>
      </c>
      <c r="E1478" s="3" t="str">
        <f>"2170732913"</f>
        <v>2170732913</v>
      </c>
      <c r="F1478" s="3" t="s">
        <v>17</v>
      </c>
      <c r="G1478" s="3" t="s">
        <v>18</v>
      </c>
      <c r="H1478" s="3" t="s">
        <v>100</v>
      </c>
      <c r="I1478" s="3" t="s">
        <v>101</v>
      </c>
      <c r="J1478" s="3" t="s">
        <v>491</v>
      </c>
      <c r="K1478" s="3" t="s">
        <v>1190</v>
      </c>
      <c r="L1478" s="4">
        <v>0.44930555555555557</v>
      </c>
      <c r="M1478" s="3" t="s">
        <v>1133</v>
      </c>
      <c r="N1478" s="3" t="s">
        <v>24</v>
      </c>
      <c r="O1478" s="3"/>
    </row>
    <row r="1479" spans="1:15">
      <c r="A1479" s="3" t="s">
        <v>15</v>
      </c>
      <c r="B1479" s="3" t="str">
        <f>"FES1162741198"</f>
        <v>FES1162741198</v>
      </c>
      <c r="C1479" s="3" t="s">
        <v>1042</v>
      </c>
      <c r="D1479" s="3">
        <v>1</v>
      </c>
      <c r="E1479" s="3" t="str">
        <f>"2170732819"</f>
        <v>2170732819</v>
      </c>
      <c r="F1479" s="3" t="s">
        <v>17</v>
      </c>
      <c r="G1479" s="3" t="s">
        <v>18</v>
      </c>
      <c r="H1479" s="3" t="s">
        <v>948</v>
      </c>
      <c r="I1479" s="3" t="s">
        <v>171</v>
      </c>
      <c r="J1479" s="3" t="s">
        <v>1033</v>
      </c>
      <c r="K1479" s="3" t="s">
        <v>1190</v>
      </c>
      <c r="L1479" s="4">
        <v>0.34166666666666662</v>
      </c>
      <c r="M1479" s="3" t="s">
        <v>1397</v>
      </c>
      <c r="N1479" s="3" t="s">
        <v>24</v>
      </c>
      <c r="O1479" s="3"/>
    </row>
    <row r="1480" spans="1:15">
      <c r="A1480" s="3" t="s">
        <v>15</v>
      </c>
      <c r="B1480" s="3" t="str">
        <f>"FES1162741223"</f>
        <v>FES1162741223</v>
      </c>
      <c r="C1480" s="3" t="s">
        <v>1042</v>
      </c>
      <c r="D1480" s="3">
        <v>1</v>
      </c>
      <c r="E1480" s="3" t="str">
        <f>"2170732606"</f>
        <v>2170732606</v>
      </c>
      <c r="F1480" s="3" t="s">
        <v>17</v>
      </c>
      <c r="G1480" s="3" t="s">
        <v>18</v>
      </c>
      <c r="H1480" s="3" t="s">
        <v>36</v>
      </c>
      <c r="I1480" s="3" t="s">
        <v>330</v>
      </c>
      <c r="J1480" s="3" t="s">
        <v>331</v>
      </c>
      <c r="K1480" s="3" t="s">
        <v>1190</v>
      </c>
      <c r="L1480" s="4">
        <v>0.41319444444444442</v>
      </c>
      <c r="M1480" s="3" t="s">
        <v>332</v>
      </c>
      <c r="N1480" s="3" t="s">
        <v>24</v>
      </c>
      <c r="O1480" s="3"/>
    </row>
    <row r="1481" spans="1:15">
      <c r="A1481" s="3" t="s">
        <v>15</v>
      </c>
      <c r="B1481" s="3" t="str">
        <f>"FES1162741209"</f>
        <v>FES1162741209</v>
      </c>
      <c r="C1481" s="3" t="s">
        <v>1042</v>
      </c>
      <c r="D1481" s="3">
        <v>1</v>
      </c>
      <c r="E1481" s="3" t="str">
        <f>"2170732829"</f>
        <v>2170732829</v>
      </c>
      <c r="F1481" s="3" t="s">
        <v>17</v>
      </c>
      <c r="G1481" s="3" t="s">
        <v>18</v>
      </c>
      <c r="H1481" s="3" t="s">
        <v>19</v>
      </c>
      <c r="I1481" s="3" t="s">
        <v>277</v>
      </c>
      <c r="J1481" s="3" t="s">
        <v>278</v>
      </c>
      <c r="K1481" s="3" t="s">
        <v>1190</v>
      </c>
      <c r="L1481" s="4">
        <v>0.4236111111111111</v>
      </c>
      <c r="M1481" s="3" t="s">
        <v>279</v>
      </c>
      <c r="N1481" s="3" t="s">
        <v>24</v>
      </c>
      <c r="O1481" s="3"/>
    </row>
    <row r="1482" spans="1:15">
      <c r="A1482" s="3" t="s">
        <v>15</v>
      </c>
      <c r="B1482" s="3" t="str">
        <f>"FES1162741284"</f>
        <v>FES1162741284</v>
      </c>
      <c r="C1482" s="3" t="s">
        <v>1042</v>
      </c>
      <c r="D1482" s="3">
        <v>1</v>
      </c>
      <c r="E1482" s="3" t="str">
        <f>"2170732926"</f>
        <v>2170732926</v>
      </c>
      <c r="F1482" s="3" t="s">
        <v>17</v>
      </c>
      <c r="G1482" s="3" t="s">
        <v>18</v>
      </c>
      <c r="H1482" s="3" t="s">
        <v>70</v>
      </c>
      <c r="I1482" s="3" t="s">
        <v>71</v>
      </c>
      <c r="J1482" s="3" t="s">
        <v>79</v>
      </c>
      <c r="K1482" s="3" t="s">
        <v>1190</v>
      </c>
      <c r="L1482" s="4">
        <v>0.42569444444444443</v>
      </c>
      <c r="M1482" s="3" t="s">
        <v>1398</v>
      </c>
      <c r="N1482" s="3" t="s">
        <v>24</v>
      </c>
      <c r="O1482" s="3"/>
    </row>
    <row r="1483" spans="1:15">
      <c r="A1483" s="3" t="s">
        <v>15</v>
      </c>
      <c r="B1483" s="3" t="str">
        <f>"FES1162741256"</f>
        <v>FES1162741256</v>
      </c>
      <c r="C1483" s="3" t="s">
        <v>1042</v>
      </c>
      <c r="D1483" s="3">
        <v>1</v>
      </c>
      <c r="E1483" s="3" t="str">
        <f>"2170732885"</f>
        <v>2170732885</v>
      </c>
      <c r="F1483" s="3" t="s">
        <v>17</v>
      </c>
      <c r="G1483" s="3" t="s">
        <v>18</v>
      </c>
      <c r="H1483" s="3" t="s">
        <v>70</v>
      </c>
      <c r="I1483" s="3" t="s">
        <v>71</v>
      </c>
      <c r="J1483" s="3" t="s">
        <v>671</v>
      </c>
      <c r="K1483" s="3" t="s">
        <v>1190</v>
      </c>
      <c r="L1483" s="4">
        <v>0.39861111111111108</v>
      </c>
      <c r="M1483" s="3" t="s">
        <v>929</v>
      </c>
      <c r="N1483" s="3" t="s">
        <v>24</v>
      </c>
      <c r="O1483" s="3"/>
    </row>
    <row r="1484" spans="1:15">
      <c r="A1484" s="3" t="s">
        <v>15</v>
      </c>
      <c r="B1484" s="3" t="str">
        <f>"FES1162741192"</f>
        <v>FES1162741192</v>
      </c>
      <c r="C1484" s="3" t="s">
        <v>1042</v>
      </c>
      <c r="D1484" s="3">
        <v>1</v>
      </c>
      <c r="E1484" s="3" t="str">
        <f>"2170732809"</f>
        <v>2170732809</v>
      </c>
      <c r="F1484" s="3" t="s">
        <v>17</v>
      </c>
      <c r="G1484" s="3" t="s">
        <v>18</v>
      </c>
      <c r="H1484" s="3" t="s">
        <v>19</v>
      </c>
      <c r="I1484" s="3" t="s">
        <v>51</v>
      </c>
      <c r="J1484" s="3" t="s">
        <v>1399</v>
      </c>
      <c r="K1484" s="3" t="s">
        <v>1190</v>
      </c>
      <c r="L1484" s="4">
        <v>0.4152777777777778</v>
      </c>
      <c r="M1484" s="3" t="s">
        <v>1400</v>
      </c>
      <c r="N1484" s="3" t="s">
        <v>24</v>
      </c>
      <c r="O1484" s="3"/>
    </row>
    <row r="1485" spans="1:15">
      <c r="A1485" s="3" t="s">
        <v>15</v>
      </c>
      <c r="B1485" s="3" t="str">
        <f>"FES1162741243"</f>
        <v>FES1162741243</v>
      </c>
      <c r="C1485" s="3" t="s">
        <v>1042</v>
      </c>
      <c r="D1485" s="3">
        <v>1</v>
      </c>
      <c r="E1485" s="3" t="str">
        <f>"2170732874"</f>
        <v>2170732874</v>
      </c>
      <c r="F1485" s="3" t="s">
        <v>17</v>
      </c>
      <c r="G1485" s="3" t="s">
        <v>18</v>
      </c>
      <c r="H1485" s="3" t="s">
        <v>70</v>
      </c>
      <c r="I1485" s="3" t="s">
        <v>71</v>
      </c>
      <c r="J1485" s="3" t="s">
        <v>671</v>
      </c>
      <c r="K1485" s="3" t="s">
        <v>1190</v>
      </c>
      <c r="L1485" s="4">
        <v>0.39861111111111108</v>
      </c>
      <c r="M1485" s="3" t="s">
        <v>929</v>
      </c>
      <c r="N1485" s="3" t="s">
        <v>24</v>
      </c>
      <c r="O1485" s="3"/>
    </row>
    <row r="1486" spans="1:15">
      <c r="A1486" s="3" t="s">
        <v>15</v>
      </c>
      <c r="B1486" s="3" t="str">
        <f>"FES1162741234"</f>
        <v>FES1162741234</v>
      </c>
      <c r="C1486" s="3" t="s">
        <v>1042</v>
      </c>
      <c r="D1486" s="3">
        <v>1</v>
      </c>
      <c r="E1486" s="3" t="str">
        <f>"2170732859"</f>
        <v>2170732859</v>
      </c>
      <c r="F1486" s="3" t="s">
        <v>17</v>
      </c>
      <c r="G1486" s="3" t="s">
        <v>18</v>
      </c>
      <c r="H1486" s="3" t="s">
        <v>18</v>
      </c>
      <c r="I1486" s="3" t="s">
        <v>309</v>
      </c>
      <c r="J1486" s="3" t="s">
        <v>1401</v>
      </c>
      <c r="K1486" s="3" t="s">
        <v>1190</v>
      </c>
      <c r="L1486" s="4">
        <v>0.36736111111111108</v>
      </c>
      <c r="M1486" s="3" t="s">
        <v>1402</v>
      </c>
      <c r="N1486" s="3" t="s">
        <v>24</v>
      </c>
      <c r="O1486" s="3"/>
    </row>
    <row r="1487" spans="1:15">
      <c r="A1487" s="3" t="s">
        <v>15</v>
      </c>
      <c r="B1487" s="3" t="str">
        <f>"FES1162741262"</f>
        <v>FES1162741262</v>
      </c>
      <c r="C1487" s="3" t="s">
        <v>1042</v>
      </c>
      <c r="D1487" s="3">
        <v>1</v>
      </c>
      <c r="E1487" s="3" t="str">
        <f>"2170732893"</f>
        <v>2170732893</v>
      </c>
      <c r="F1487" s="3" t="s">
        <v>17</v>
      </c>
      <c r="G1487" s="3" t="s">
        <v>18</v>
      </c>
      <c r="H1487" s="3" t="s">
        <v>70</v>
      </c>
      <c r="I1487" s="3" t="s">
        <v>71</v>
      </c>
      <c r="J1487" s="3" t="s">
        <v>671</v>
      </c>
      <c r="K1487" s="3" t="s">
        <v>1190</v>
      </c>
      <c r="L1487" s="4">
        <v>0.39861111111111108</v>
      </c>
      <c r="M1487" s="3" t="s">
        <v>929</v>
      </c>
      <c r="N1487" s="3" t="s">
        <v>24</v>
      </c>
      <c r="O1487" s="3"/>
    </row>
    <row r="1488" spans="1:15">
      <c r="A1488" s="3" t="s">
        <v>15</v>
      </c>
      <c r="B1488" s="3" t="str">
        <f>"FES1162741214"</f>
        <v>FES1162741214</v>
      </c>
      <c r="C1488" s="3" t="s">
        <v>1042</v>
      </c>
      <c r="D1488" s="3">
        <v>1</v>
      </c>
      <c r="E1488" s="3" t="str">
        <f>"2170732833"</f>
        <v>2170732833</v>
      </c>
      <c r="F1488" s="3" t="s">
        <v>17</v>
      </c>
      <c r="G1488" s="3" t="s">
        <v>18</v>
      </c>
      <c r="H1488" s="3" t="s">
        <v>18</v>
      </c>
      <c r="I1488" s="3" t="s">
        <v>338</v>
      </c>
      <c r="J1488" s="3" t="s">
        <v>199</v>
      </c>
      <c r="K1488" s="3" t="s">
        <v>1190</v>
      </c>
      <c r="L1488" s="4">
        <v>0.3576388888888889</v>
      </c>
      <c r="M1488" s="3" t="s">
        <v>1321</v>
      </c>
      <c r="N1488" s="3" t="s">
        <v>24</v>
      </c>
      <c r="O1488" s="3"/>
    </row>
    <row r="1489" spans="1:15">
      <c r="A1489" s="3" t="s">
        <v>15</v>
      </c>
      <c r="B1489" s="3" t="str">
        <f>"FES1162741263"</f>
        <v>FES1162741263</v>
      </c>
      <c r="C1489" s="3" t="s">
        <v>1042</v>
      </c>
      <c r="D1489" s="3">
        <v>1</v>
      </c>
      <c r="E1489" s="3" t="str">
        <f>"2170732894"</f>
        <v>2170732894</v>
      </c>
      <c r="F1489" s="3" t="s">
        <v>17</v>
      </c>
      <c r="G1489" s="3" t="s">
        <v>18</v>
      </c>
      <c r="H1489" s="3" t="s">
        <v>19</v>
      </c>
      <c r="I1489" s="3" t="s">
        <v>236</v>
      </c>
      <c r="J1489" s="3" t="s">
        <v>257</v>
      </c>
      <c r="K1489" s="3" t="s">
        <v>1190</v>
      </c>
      <c r="L1489" s="4">
        <v>0.35833333333333334</v>
      </c>
      <c r="M1489" s="3" t="s">
        <v>819</v>
      </c>
      <c r="N1489" s="3" t="s">
        <v>24</v>
      </c>
      <c r="O1489" s="3"/>
    </row>
    <row r="1490" spans="1:15">
      <c r="A1490" s="3" t="s">
        <v>15</v>
      </c>
      <c r="B1490" s="3" t="str">
        <f>"FES1162741306"</f>
        <v>FES1162741306</v>
      </c>
      <c r="C1490" s="3" t="s">
        <v>1042</v>
      </c>
      <c r="D1490" s="3">
        <v>1</v>
      </c>
      <c r="E1490" s="3" t="str">
        <f>"2170732942"</f>
        <v>2170732942</v>
      </c>
      <c r="F1490" s="3" t="s">
        <v>17</v>
      </c>
      <c r="G1490" s="3" t="s">
        <v>18</v>
      </c>
      <c r="H1490" s="3" t="s">
        <v>100</v>
      </c>
      <c r="I1490" s="3" t="s">
        <v>101</v>
      </c>
      <c r="J1490" s="3" t="s">
        <v>1403</v>
      </c>
      <c r="K1490" s="3" t="s">
        <v>1190</v>
      </c>
      <c r="L1490" s="4">
        <v>0.37777777777777777</v>
      </c>
      <c r="M1490" s="3" t="s">
        <v>1404</v>
      </c>
      <c r="N1490" s="3" t="s">
        <v>24</v>
      </c>
      <c r="O1490" s="3"/>
    </row>
    <row r="1491" spans="1:15">
      <c r="A1491" s="3" t="s">
        <v>15</v>
      </c>
      <c r="B1491" s="3" t="str">
        <f>"FES1162741279"</f>
        <v>FES1162741279</v>
      </c>
      <c r="C1491" s="3" t="s">
        <v>1042</v>
      </c>
      <c r="D1491" s="3">
        <v>1</v>
      </c>
      <c r="E1491" s="3" t="str">
        <f>"2170732910"</f>
        <v>2170732910</v>
      </c>
      <c r="F1491" s="3" t="s">
        <v>17</v>
      </c>
      <c r="G1491" s="3" t="s">
        <v>18</v>
      </c>
      <c r="H1491" s="3" t="s">
        <v>19</v>
      </c>
      <c r="I1491" s="3" t="s">
        <v>20</v>
      </c>
      <c r="J1491" s="3" t="s">
        <v>58</v>
      </c>
      <c r="K1491" s="3" t="s">
        <v>1190</v>
      </c>
      <c r="L1491" s="4">
        <v>0.40208333333333335</v>
      </c>
      <c r="M1491" s="3" t="s">
        <v>1405</v>
      </c>
      <c r="N1491" s="3" t="s">
        <v>24</v>
      </c>
      <c r="O1491" s="3"/>
    </row>
    <row r="1492" spans="1:15">
      <c r="A1492" s="3" t="s">
        <v>15</v>
      </c>
      <c r="B1492" s="3" t="str">
        <f>"FES1162741293"</f>
        <v>FES1162741293</v>
      </c>
      <c r="C1492" s="3" t="s">
        <v>1042</v>
      </c>
      <c r="D1492" s="3">
        <v>1</v>
      </c>
      <c r="E1492" s="3" t="str">
        <f>"2170732927"</f>
        <v>2170732927</v>
      </c>
      <c r="F1492" s="3" t="s">
        <v>17</v>
      </c>
      <c r="G1492" s="3" t="s">
        <v>18</v>
      </c>
      <c r="H1492" s="3" t="s">
        <v>18</v>
      </c>
      <c r="I1492" s="3" t="s">
        <v>29</v>
      </c>
      <c r="J1492" s="3" t="s">
        <v>1406</v>
      </c>
      <c r="K1492" s="3" t="s">
        <v>1190</v>
      </c>
      <c r="L1492" s="4">
        <v>0.27083333333333331</v>
      </c>
      <c r="M1492" s="3" t="s">
        <v>1407</v>
      </c>
      <c r="N1492" s="3" t="s">
        <v>24</v>
      </c>
      <c r="O1492" s="3"/>
    </row>
    <row r="1493" spans="1:15">
      <c r="A1493" s="3" t="s">
        <v>15</v>
      </c>
      <c r="B1493" s="3" t="str">
        <f>"FES1162741237"</f>
        <v>FES1162741237</v>
      </c>
      <c r="C1493" s="3" t="s">
        <v>1042</v>
      </c>
      <c r="D1493" s="3">
        <v>1</v>
      </c>
      <c r="E1493" s="3" t="str">
        <f>"2170730989"</f>
        <v>2170730989</v>
      </c>
      <c r="F1493" s="3" t="s">
        <v>17</v>
      </c>
      <c r="G1493" s="3" t="s">
        <v>18</v>
      </c>
      <c r="H1493" s="3" t="s">
        <v>18</v>
      </c>
      <c r="I1493" s="3" t="s">
        <v>338</v>
      </c>
      <c r="J1493" s="3" t="s">
        <v>724</v>
      </c>
      <c r="K1493" s="3" t="s">
        <v>1190</v>
      </c>
      <c r="L1493" s="4">
        <v>0.36805555555555558</v>
      </c>
      <c r="M1493" s="3" t="s">
        <v>730</v>
      </c>
      <c r="N1493" s="3" t="s">
        <v>24</v>
      </c>
      <c r="O1493" s="3"/>
    </row>
    <row r="1494" spans="1:15">
      <c r="A1494" s="3" t="s">
        <v>15</v>
      </c>
      <c r="B1494" s="3" t="str">
        <f>"FES1162741220"</f>
        <v>FES1162741220</v>
      </c>
      <c r="C1494" s="3" t="s">
        <v>1042</v>
      </c>
      <c r="D1494" s="3">
        <v>1</v>
      </c>
      <c r="E1494" s="3" t="str">
        <f>"2170732844"</f>
        <v>2170732844</v>
      </c>
      <c r="F1494" s="3" t="s">
        <v>17</v>
      </c>
      <c r="G1494" s="3" t="s">
        <v>18</v>
      </c>
      <c r="H1494" s="3" t="s">
        <v>18</v>
      </c>
      <c r="I1494" s="3" t="s">
        <v>171</v>
      </c>
      <c r="J1494" s="3" t="s">
        <v>1408</v>
      </c>
      <c r="K1494" s="3" t="s">
        <v>1190</v>
      </c>
      <c r="L1494" s="4">
        <v>0.36874999999999997</v>
      </c>
      <c r="M1494" s="3" t="s">
        <v>28</v>
      </c>
      <c r="N1494" s="3" t="s">
        <v>24</v>
      </c>
      <c r="O1494" s="3"/>
    </row>
    <row r="1495" spans="1:15">
      <c r="A1495" s="3" t="s">
        <v>15</v>
      </c>
      <c r="B1495" s="3" t="str">
        <f>"FES1162741210"</f>
        <v>FES1162741210</v>
      </c>
      <c r="C1495" s="3" t="s">
        <v>1042</v>
      </c>
      <c r="D1495" s="3">
        <v>1</v>
      </c>
      <c r="E1495" s="3" t="str">
        <f>"2170732828"</f>
        <v>2170732828</v>
      </c>
      <c r="F1495" s="3" t="s">
        <v>17</v>
      </c>
      <c r="G1495" s="3" t="s">
        <v>18</v>
      </c>
      <c r="H1495" s="3" t="s">
        <v>18</v>
      </c>
      <c r="I1495" s="3" t="s">
        <v>903</v>
      </c>
      <c r="J1495" s="3" t="s">
        <v>1409</v>
      </c>
      <c r="K1495" s="3" t="s">
        <v>1190</v>
      </c>
      <c r="L1495" s="4">
        <v>0.3923611111111111</v>
      </c>
      <c r="M1495" s="3" t="s">
        <v>1410</v>
      </c>
      <c r="N1495" s="3" t="s">
        <v>24</v>
      </c>
      <c r="O1495" s="3"/>
    </row>
    <row r="1496" spans="1:15">
      <c r="A1496" s="3" t="s">
        <v>15</v>
      </c>
      <c r="B1496" s="3" t="str">
        <f>"FES1162741300"</f>
        <v>FES1162741300</v>
      </c>
      <c r="C1496" s="3" t="s">
        <v>1042</v>
      </c>
      <c r="D1496" s="3">
        <v>1</v>
      </c>
      <c r="E1496" s="3" t="str">
        <f>"2170732937"</f>
        <v>2170732937</v>
      </c>
      <c r="F1496" s="3" t="s">
        <v>17</v>
      </c>
      <c r="G1496" s="3" t="s">
        <v>18</v>
      </c>
      <c r="H1496" s="3" t="s">
        <v>100</v>
      </c>
      <c r="I1496" s="3" t="s">
        <v>101</v>
      </c>
      <c r="J1496" s="3" t="s">
        <v>554</v>
      </c>
      <c r="K1496" s="3" t="s">
        <v>1190</v>
      </c>
      <c r="L1496" s="4">
        <v>0.3666666666666667</v>
      </c>
      <c r="M1496" s="3" t="s">
        <v>1411</v>
      </c>
      <c r="N1496" s="3" t="s">
        <v>24</v>
      </c>
      <c r="O1496" s="3"/>
    </row>
    <row r="1497" spans="1:15">
      <c r="A1497" s="3" t="s">
        <v>15</v>
      </c>
      <c r="B1497" s="3" t="str">
        <f>"FES1162741213"</f>
        <v>FES1162741213</v>
      </c>
      <c r="C1497" s="3" t="s">
        <v>1042</v>
      </c>
      <c r="D1497" s="3">
        <v>1</v>
      </c>
      <c r="E1497" s="3" t="str">
        <f>"2170732832"</f>
        <v>2170732832</v>
      </c>
      <c r="F1497" s="3" t="s">
        <v>17</v>
      </c>
      <c r="G1497" s="3" t="s">
        <v>18</v>
      </c>
      <c r="H1497" s="3" t="s">
        <v>18</v>
      </c>
      <c r="I1497" s="3" t="s">
        <v>341</v>
      </c>
      <c r="J1497" s="3" t="s">
        <v>278</v>
      </c>
      <c r="K1497" s="3" t="s">
        <v>1190</v>
      </c>
      <c r="L1497" s="4">
        <v>0.39027777777777778</v>
      </c>
      <c r="M1497" s="3" t="s">
        <v>1412</v>
      </c>
      <c r="N1497" s="3" t="s">
        <v>24</v>
      </c>
      <c r="O1497" s="3"/>
    </row>
    <row r="1498" spans="1:15">
      <c r="A1498" s="3" t="s">
        <v>15</v>
      </c>
      <c r="B1498" s="3" t="str">
        <f>"FES1162741241"</f>
        <v>FES1162741241</v>
      </c>
      <c r="C1498" s="3" t="s">
        <v>1042</v>
      </c>
      <c r="D1498" s="3">
        <v>1</v>
      </c>
      <c r="E1498" s="3" t="str">
        <f>"2170732867"</f>
        <v>2170732867</v>
      </c>
      <c r="F1498" s="3" t="s">
        <v>17</v>
      </c>
      <c r="G1498" s="3" t="s">
        <v>18</v>
      </c>
      <c r="H1498" s="3" t="s">
        <v>19</v>
      </c>
      <c r="I1498" s="3" t="s">
        <v>277</v>
      </c>
      <c r="J1498" s="3" t="s">
        <v>1413</v>
      </c>
      <c r="K1498" s="3" t="s">
        <v>1190</v>
      </c>
      <c r="L1498" s="4">
        <v>0.43472222222222223</v>
      </c>
      <c r="M1498" s="3" t="s">
        <v>1414</v>
      </c>
      <c r="N1498" s="3" t="s">
        <v>24</v>
      </c>
      <c r="O1498" s="3"/>
    </row>
    <row r="1499" spans="1:15">
      <c r="A1499" s="3" t="s">
        <v>15</v>
      </c>
      <c r="B1499" s="3" t="str">
        <f>"FES1162741221"</f>
        <v>FES1162741221</v>
      </c>
      <c r="C1499" s="3" t="s">
        <v>1042</v>
      </c>
      <c r="D1499" s="3">
        <v>1</v>
      </c>
      <c r="E1499" s="3" t="str">
        <f>"2170732845"</f>
        <v>2170732845</v>
      </c>
      <c r="F1499" s="3" t="s">
        <v>17</v>
      </c>
      <c r="G1499" s="3" t="s">
        <v>18</v>
      </c>
      <c r="H1499" s="3" t="s">
        <v>19</v>
      </c>
      <c r="I1499" s="3" t="s">
        <v>20</v>
      </c>
      <c r="J1499" s="3" t="s">
        <v>21</v>
      </c>
      <c r="K1499" s="3" t="s">
        <v>1190</v>
      </c>
      <c r="L1499" s="4">
        <v>0.37083333333333335</v>
      </c>
      <c r="M1499" s="3" t="s">
        <v>200</v>
      </c>
      <c r="N1499" s="3" t="s">
        <v>24</v>
      </c>
      <c r="O1499" s="3"/>
    </row>
    <row r="1500" spans="1:15">
      <c r="A1500" s="3" t="s">
        <v>15</v>
      </c>
      <c r="B1500" s="3" t="str">
        <f>"FES1162741242"</f>
        <v>FES1162741242</v>
      </c>
      <c r="C1500" s="3" t="s">
        <v>1042</v>
      </c>
      <c r="D1500" s="3">
        <v>1</v>
      </c>
      <c r="E1500" s="3" t="str">
        <f>"2170732870"</f>
        <v>2170732870</v>
      </c>
      <c r="F1500" s="3" t="s">
        <v>17</v>
      </c>
      <c r="G1500" s="3" t="s">
        <v>18</v>
      </c>
      <c r="H1500" s="3" t="s">
        <v>19</v>
      </c>
      <c r="I1500" s="3" t="s">
        <v>277</v>
      </c>
      <c r="J1500" s="3" t="s">
        <v>1413</v>
      </c>
      <c r="K1500" s="3" t="s">
        <v>1190</v>
      </c>
      <c r="L1500" s="4">
        <v>0.43472222222222223</v>
      </c>
      <c r="M1500" s="3" t="s">
        <v>1414</v>
      </c>
      <c r="N1500" s="3" t="s">
        <v>24</v>
      </c>
      <c r="O1500" s="3"/>
    </row>
    <row r="1501" spans="1:15">
      <c r="A1501" s="3" t="s">
        <v>15</v>
      </c>
      <c r="B1501" s="3" t="str">
        <f>"FES1162741251"</f>
        <v>FES1162741251</v>
      </c>
      <c r="C1501" s="3" t="s">
        <v>1042</v>
      </c>
      <c r="D1501" s="3">
        <v>1</v>
      </c>
      <c r="E1501" s="3" t="str">
        <f>"2170732880"</f>
        <v>2170732880</v>
      </c>
      <c r="F1501" s="3" t="s">
        <v>17</v>
      </c>
      <c r="G1501" s="3" t="s">
        <v>18</v>
      </c>
      <c r="H1501" s="3" t="s">
        <v>19</v>
      </c>
      <c r="I1501" s="3" t="s">
        <v>20</v>
      </c>
      <c r="J1501" s="3" t="s">
        <v>120</v>
      </c>
      <c r="K1501" s="3" t="s">
        <v>1190</v>
      </c>
      <c r="L1501" s="4">
        <v>0.37361111111111112</v>
      </c>
      <c r="M1501" s="3" t="s">
        <v>1415</v>
      </c>
      <c r="N1501" s="3" t="s">
        <v>24</v>
      </c>
      <c r="O1501" s="3"/>
    </row>
    <row r="1502" spans="1:15">
      <c r="A1502" s="3" t="s">
        <v>15</v>
      </c>
      <c r="B1502" s="3" t="str">
        <f>"FES1162741271"</f>
        <v>FES1162741271</v>
      </c>
      <c r="C1502" s="3" t="s">
        <v>1042</v>
      </c>
      <c r="D1502" s="3">
        <v>1</v>
      </c>
      <c r="E1502" s="3" t="str">
        <f>"2170732903"</f>
        <v>2170732903</v>
      </c>
      <c r="F1502" s="3" t="s">
        <v>17</v>
      </c>
      <c r="G1502" s="3" t="s">
        <v>18</v>
      </c>
      <c r="H1502" s="3" t="s">
        <v>19</v>
      </c>
      <c r="I1502" s="3" t="s">
        <v>20</v>
      </c>
      <c r="J1502" s="3" t="s">
        <v>56</v>
      </c>
      <c r="K1502" s="3" t="s">
        <v>1190</v>
      </c>
      <c r="L1502" s="4">
        <v>0.37013888888888885</v>
      </c>
      <c r="M1502" s="3" t="s">
        <v>259</v>
      </c>
      <c r="N1502" s="3" t="s">
        <v>24</v>
      </c>
      <c r="O1502" s="3"/>
    </row>
    <row r="1503" spans="1:15">
      <c r="A1503" s="3" t="s">
        <v>15</v>
      </c>
      <c r="B1503" s="3" t="str">
        <f>"FES1162741283"</f>
        <v>FES1162741283</v>
      </c>
      <c r="C1503" s="3" t="s">
        <v>1042</v>
      </c>
      <c r="D1503" s="3">
        <v>1</v>
      </c>
      <c r="E1503" s="3" t="str">
        <f>"2170732921"</f>
        <v>2170732921</v>
      </c>
      <c r="F1503" s="3" t="s">
        <v>17</v>
      </c>
      <c r="G1503" s="3" t="s">
        <v>18</v>
      </c>
      <c r="H1503" s="3" t="s">
        <v>18</v>
      </c>
      <c r="I1503" s="3" t="s">
        <v>222</v>
      </c>
      <c r="J1503" s="3" t="s">
        <v>716</v>
      </c>
      <c r="K1503" s="3" t="s">
        <v>1190</v>
      </c>
      <c r="L1503" s="4">
        <v>0.41666666666666669</v>
      </c>
      <c r="M1503" s="3" t="s">
        <v>1344</v>
      </c>
      <c r="N1503" s="3" t="s">
        <v>24</v>
      </c>
      <c r="O1503" s="3"/>
    </row>
    <row r="1504" spans="1:15">
      <c r="A1504" s="3" t="s">
        <v>15</v>
      </c>
      <c r="B1504" s="3" t="str">
        <f>"FES1162741307"</f>
        <v>FES1162741307</v>
      </c>
      <c r="C1504" s="3" t="s">
        <v>1042</v>
      </c>
      <c r="D1504" s="3">
        <v>1</v>
      </c>
      <c r="E1504" s="3" t="str">
        <f>"2170732943"</f>
        <v>2170732943</v>
      </c>
      <c r="F1504" s="3" t="s">
        <v>17</v>
      </c>
      <c r="G1504" s="3" t="s">
        <v>18</v>
      </c>
      <c r="H1504" s="3" t="s">
        <v>100</v>
      </c>
      <c r="I1504" s="3" t="s">
        <v>155</v>
      </c>
      <c r="J1504" s="3" t="s">
        <v>333</v>
      </c>
      <c r="K1504" s="3" t="s">
        <v>1190</v>
      </c>
      <c r="L1504" s="4">
        <v>0.32708333333333334</v>
      </c>
      <c r="M1504" s="3" t="s">
        <v>1416</v>
      </c>
      <c r="N1504" s="3" t="s">
        <v>24</v>
      </c>
      <c r="O1504" s="3"/>
    </row>
    <row r="1505" spans="1:15">
      <c r="A1505" s="3" t="s">
        <v>15</v>
      </c>
      <c r="B1505" s="3" t="str">
        <f>"FES1162741304"</f>
        <v>FES1162741304</v>
      </c>
      <c r="C1505" s="3" t="s">
        <v>1042</v>
      </c>
      <c r="D1505" s="3">
        <v>1</v>
      </c>
      <c r="E1505" s="3" t="str">
        <f>"2170732939"</f>
        <v>2170732939</v>
      </c>
      <c r="F1505" s="3" t="s">
        <v>17</v>
      </c>
      <c r="G1505" s="3" t="s">
        <v>18</v>
      </c>
      <c r="H1505" s="3" t="s">
        <v>100</v>
      </c>
      <c r="I1505" s="3" t="s">
        <v>117</v>
      </c>
      <c r="J1505" s="3" t="s">
        <v>118</v>
      </c>
      <c r="K1505" s="3" t="s">
        <v>1190</v>
      </c>
      <c r="L1505" s="4">
        <v>0.46180555555555558</v>
      </c>
      <c r="M1505" s="3" t="s">
        <v>119</v>
      </c>
      <c r="N1505" s="3" t="s">
        <v>24</v>
      </c>
      <c r="O1505" s="3"/>
    </row>
    <row r="1506" spans="1:15">
      <c r="A1506" s="3" t="s">
        <v>15</v>
      </c>
      <c r="B1506" s="3" t="str">
        <f>"FES1162741272"</f>
        <v>FES1162741272</v>
      </c>
      <c r="C1506" s="3" t="s">
        <v>1042</v>
      </c>
      <c r="D1506" s="3">
        <v>1</v>
      </c>
      <c r="E1506" s="3" t="str">
        <f>"2170731634"</f>
        <v>2170731634</v>
      </c>
      <c r="F1506" s="3" t="s">
        <v>17</v>
      </c>
      <c r="G1506" s="3" t="s">
        <v>18</v>
      </c>
      <c r="H1506" s="3" t="s">
        <v>70</v>
      </c>
      <c r="I1506" s="3" t="s">
        <v>71</v>
      </c>
      <c r="J1506" s="3" t="s">
        <v>1417</v>
      </c>
      <c r="K1506" s="3" t="s">
        <v>1190</v>
      </c>
      <c r="L1506" s="4">
        <v>0.39166666666666666</v>
      </c>
      <c r="M1506" s="3" t="s">
        <v>1418</v>
      </c>
      <c r="N1506" s="3" t="s">
        <v>24</v>
      </c>
      <c r="O1506" s="3"/>
    </row>
    <row r="1507" spans="1:15">
      <c r="A1507" s="3" t="s">
        <v>15</v>
      </c>
      <c r="B1507" s="3" t="str">
        <f>"FES1162741302"</f>
        <v>FES1162741302</v>
      </c>
      <c r="C1507" s="3" t="s">
        <v>1042</v>
      </c>
      <c r="D1507" s="3">
        <v>1</v>
      </c>
      <c r="E1507" s="3" t="str">
        <f>"2170732300"</f>
        <v>2170732300</v>
      </c>
      <c r="F1507" s="3" t="s">
        <v>17</v>
      </c>
      <c r="G1507" s="3" t="s">
        <v>18</v>
      </c>
      <c r="H1507" s="3" t="s">
        <v>19</v>
      </c>
      <c r="I1507" s="3" t="s">
        <v>445</v>
      </c>
      <c r="J1507" s="3" t="s">
        <v>566</v>
      </c>
      <c r="K1507" s="3" t="s">
        <v>1190</v>
      </c>
      <c r="L1507" s="4">
        <v>0.42777777777777781</v>
      </c>
      <c r="M1507" s="3" t="s">
        <v>1287</v>
      </c>
      <c r="N1507" s="3" t="s">
        <v>24</v>
      </c>
      <c r="O1507" s="3"/>
    </row>
    <row r="1508" spans="1:15">
      <c r="A1508" s="3" t="s">
        <v>15</v>
      </c>
      <c r="B1508" s="3" t="str">
        <f>"FES1162741296"</f>
        <v>FES1162741296</v>
      </c>
      <c r="C1508" s="3" t="s">
        <v>1042</v>
      </c>
      <c r="D1508" s="3">
        <v>1</v>
      </c>
      <c r="E1508" s="3" t="str">
        <f>"2170732932"</f>
        <v>2170732932</v>
      </c>
      <c r="F1508" s="3" t="s">
        <v>17</v>
      </c>
      <c r="G1508" s="3" t="s">
        <v>18</v>
      </c>
      <c r="H1508" s="3" t="s">
        <v>66</v>
      </c>
      <c r="I1508" s="3" t="s">
        <v>67</v>
      </c>
      <c r="J1508" s="3" t="s">
        <v>644</v>
      </c>
      <c r="K1508" s="3" t="s">
        <v>1190</v>
      </c>
      <c r="L1508" s="4">
        <v>0.3888888888888889</v>
      </c>
      <c r="M1508" s="3" t="s">
        <v>1419</v>
      </c>
      <c r="N1508" s="3" t="s">
        <v>24</v>
      </c>
      <c r="O1508" s="3"/>
    </row>
    <row r="1509" spans="1:15">
      <c r="A1509" s="3" t="s">
        <v>15</v>
      </c>
      <c r="B1509" s="3" t="str">
        <f>"009939512489"</f>
        <v>009939512489</v>
      </c>
      <c r="C1509" s="3" t="s">
        <v>1042</v>
      </c>
      <c r="D1509" s="3">
        <v>1</v>
      </c>
      <c r="E1509" s="3" t="str">
        <f>"1703"</f>
        <v>1703</v>
      </c>
      <c r="F1509" s="3" t="s">
        <v>17</v>
      </c>
      <c r="G1509" s="3" t="s">
        <v>100</v>
      </c>
      <c r="H1509" s="3" t="s">
        <v>36</v>
      </c>
      <c r="I1509" s="3" t="s">
        <v>37</v>
      </c>
      <c r="J1509" s="3" t="s">
        <v>1420</v>
      </c>
      <c r="K1509" s="3" t="s">
        <v>1190</v>
      </c>
      <c r="L1509" s="4">
        <v>0.36458333333333331</v>
      </c>
      <c r="M1509" s="3" t="s">
        <v>1421</v>
      </c>
      <c r="N1509" s="3" t="s">
        <v>24</v>
      </c>
      <c r="O1509" s="3"/>
    </row>
    <row r="1510" spans="1:15">
      <c r="A1510" s="3" t="s">
        <v>15</v>
      </c>
      <c r="B1510" s="3" t="str">
        <f>"019911311227"</f>
        <v>019911311227</v>
      </c>
      <c r="C1510" s="3" t="s">
        <v>1042</v>
      </c>
      <c r="D1510" s="3">
        <v>1</v>
      </c>
      <c r="E1510" s="3" t="str">
        <f>"1703"</f>
        <v>1703</v>
      </c>
      <c r="F1510" s="3" t="s">
        <v>17</v>
      </c>
      <c r="G1510" s="3" t="s">
        <v>100</v>
      </c>
      <c r="H1510" s="3" t="s">
        <v>18</v>
      </c>
      <c r="I1510" s="3" t="s">
        <v>29</v>
      </c>
      <c r="J1510" s="3" t="s">
        <v>635</v>
      </c>
      <c r="K1510" s="3" t="s">
        <v>1190</v>
      </c>
      <c r="L1510" s="4">
        <v>0.35486111111111113</v>
      </c>
      <c r="M1510" s="3" t="s">
        <v>31</v>
      </c>
      <c r="N1510" s="3" t="s">
        <v>24</v>
      </c>
      <c r="O1510" s="3"/>
    </row>
    <row r="1511" spans="1:15">
      <c r="A1511" s="3" t="s">
        <v>15</v>
      </c>
      <c r="B1511" s="3" t="str">
        <f>"FES1162741575"</f>
        <v>FES1162741575</v>
      </c>
      <c r="C1511" s="3" t="s">
        <v>1190</v>
      </c>
      <c r="D1511" s="3">
        <v>1</v>
      </c>
      <c r="E1511" s="3" t="str">
        <f>"2170732910"</f>
        <v>2170732910</v>
      </c>
      <c r="F1511" s="3" t="s">
        <v>17</v>
      </c>
      <c r="G1511" s="3" t="s">
        <v>18</v>
      </c>
      <c r="H1511" s="3" t="s">
        <v>19</v>
      </c>
      <c r="I1511" s="3" t="s">
        <v>20</v>
      </c>
      <c r="J1511" s="3" t="s">
        <v>1422</v>
      </c>
      <c r="K1511" s="3" t="s">
        <v>1228</v>
      </c>
      <c r="L1511" s="4">
        <v>0.32291666666666669</v>
      </c>
      <c r="M1511" s="3" t="s">
        <v>59</v>
      </c>
      <c r="N1511" s="3" t="s">
        <v>24</v>
      </c>
      <c r="O1511" s="3" t="s">
        <v>25</v>
      </c>
    </row>
    <row r="1512" spans="1:15">
      <c r="A1512" s="3" t="s">
        <v>15</v>
      </c>
      <c r="B1512" s="3" t="str">
        <f>"FES1162741391"</f>
        <v>FES1162741391</v>
      </c>
      <c r="C1512" s="3" t="s">
        <v>1190</v>
      </c>
      <c r="D1512" s="3">
        <v>1</v>
      </c>
      <c r="E1512" s="3" t="str">
        <f>"2170731117"</f>
        <v>2170731117</v>
      </c>
      <c r="F1512" s="3" t="s">
        <v>17</v>
      </c>
      <c r="G1512" s="3" t="s">
        <v>18</v>
      </c>
      <c r="H1512" s="3" t="s">
        <v>18</v>
      </c>
      <c r="I1512" s="3" t="s">
        <v>33</v>
      </c>
      <c r="J1512" s="3" t="s">
        <v>34</v>
      </c>
      <c r="K1512" s="3" t="s">
        <v>1228</v>
      </c>
      <c r="L1512" s="4">
        <v>0.42569444444444443</v>
      </c>
      <c r="M1512" s="3" t="s">
        <v>1423</v>
      </c>
      <c r="N1512" s="3" t="s">
        <v>24</v>
      </c>
      <c r="O1512" s="3" t="s">
        <v>25</v>
      </c>
    </row>
    <row r="1513" spans="1:15">
      <c r="A1513" s="3" t="s">
        <v>15</v>
      </c>
      <c r="B1513" s="3" t="str">
        <f>"FES1162741457"</f>
        <v>FES1162741457</v>
      </c>
      <c r="C1513" s="3" t="s">
        <v>1190</v>
      </c>
      <c r="D1513" s="3">
        <v>1</v>
      </c>
      <c r="E1513" s="3" t="str">
        <f>"2170732998"</f>
        <v>2170732998</v>
      </c>
      <c r="F1513" s="3" t="s">
        <v>17</v>
      </c>
      <c r="G1513" s="3" t="s">
        <v>18</v>
      </c>
      <c r="H1513" s="3" t="s">
        <v>18</v>
      </c>
      <c r="I1513" s="3" t="s">
        <v>171</v>
      </c>
      <c r="J1513" s="3" t="s">
        <v>189</v>
      </c>
      <c r="K1513" s="3" t="s">
        <v>1228</v>
      </c>
      <c r="L1513" s="4">
        <v>0.3444444444444445</v>
      </c>
      <c r="M1513" s="3" t="s">
        <v>412</v>
      </c>
      <c r="N1513" s="3" t="s">
        <v>24</v>
      </c>
      <c r="O1513" s="3" t="s">
        <v>25</v>
      </c>
    </row>
    <row r="1514" spans="1:15">
      <c r="A1514" s="3" t="s">
        <v>15</v>
      </c>
      <c r="B1514" s="3" t="str">
        <f>"FES1162741373"</f>
        <v>FES1162741373</v>
      </c>
      <c r="C1514" s="3" t="s">
        <v>1190</v>
      </c>
      <c r="D1514" s="3">
        <v>1</v>
      </c>
      <c r="E1514" s="3" t="str">
        <f>"2170730932"</f>
        <v>2170730932</v>
      </c>
      <c r="F1514" s="3" t="s">
        <v>17</v>
      </c>
      <c r="G1514" s="3" t="s">
        <v>18</v>
      </c>
      <c r="H1514" s="3" t="s">
        <v>100</v>
      </c>
      <c r="I1514" s="3" t="s">
        <v>101</v>
      </c>
      <c r="J1514" s="3" t="s">
        <v>125</v>
      </c>
      <c r="K1514" s="3" t="s">
        <v>1228</v>
      </c>
      <c r="L1514" s="4">
        <v>0.2951388888888889</v>
      </c>
      <c r="M1514" s="3" t="s">
        <v>200</v>
      </c>
      <c r="N1514" s="3" t="s">
        <v>24</v>
      </c>
      <c r="O1514" s="3" t="s">
        <v>25</v>
      </c>
    </row>
    <row r="1515" spans="1:15">
      <c r="A1515" s="3" t="s">
        <v>15</v>
      </c>
      <c r="B1515" s="3" t="str">
        <f>"FES1162741320"</f>
        <v>FES1162741320</v>
      </c>
      <c r="C1515" s="3" t="s">
        <v>1190</v>
      </c>
      <c r="D1515" s="3">
        <v>1</v>
      </c>
      <c r="E1515" s="3" t="str">
        <f>"2170729350"</f>
        <v>2170729350</v>
      </c>
      <c r="F1515" s="3" t="s">
        <v>17</v>
      </c>
      <c r="G1515" s="3" t="s">
        <v>18</v>
      </c>
      <c r="H1515" s="3" t="s">
        <v>36</v>
      </c>
      <c r="I1515" s="3" t="s">
        <v>174</v>
      </c>
      <c r="J1515" s="3" t="s">
        <v>175</v>
      </c>
      <c r="K1515" s="3" t="s">
        <v>1228</v>
      </c>
      <c r="L1515" s="4">
        <v>0.34722222222222227</v>
      </c>
      <c r="M1515" s="3" t="s">
        <v>1222</v>
      </c>
      <c r="N1515" s="3" t="s">
        <v>24</v>
      </c>
      <c r="O1515" s="3" t="s">
        <v>25</v>
      </c>
    </row>
    <row r="1516" spans="1:15">
      <c r="A1516" s="3" t="s">
        <v>15</v>
      </c>
      <c r="B1516" s="3" t="str">
        <f>"FES1162741357"</f>
        <v>FES1162741357</v>
      </c>
      <c r="C1516" s="3" t="s">
        <v>1190</v>
      </c>
      <c r="D1516" s="3">
        <v>1</v>
      </c>
      <c r="E1516" s="3" t="str">
        <f>"2170730796"</f>
        <v>2170730796</v>
      </c>
      <c r="F1516" s="3" t="s">
        <v>17</v>
      </c>
      <c r="G1516" s="3" t="s">
        <v>18</v>
      </c>
      <c r="H1516" s="3" t="s">
        <v>100</v>
      </c>
      <c r="I1516" s="3" t="s">
        <v>155</v>
      </c>
      <c r="J1516" s="3" t="s">
        <v>489</v>
      </c>
      <c r="K1516" s="3" t="s">
        <v>1228</v>
      </c>
      <c r="L1516" s="4">
        <v>0.4375</v>
      </c>
      <c r="M1516" s="3" t="s">
        <v>1424</v>
      </c>
      <c r="N1516" s="3" t="s">
        <v>24</v>
      </c>
      <c r="O1516" s="3" t="s">
        <v>25</v>
      </c>
    </row>
    <row r="1517" spans="1:15">
      <c r="A1517" s="3" t="s">
        <v>15</v>
      </c>
      <c r="B1517" s="3" t="str">
        <f>"FES1162741403"</f>
        <v>FES1162741403</v>
      </c>
      <c r="C1517" s="3" t="s">
        <v>1190</v>
      </c>
      <c r="D1517" s="3">
        <v>1</v>
      </c>
      <c r="E1517" s="3" t="str">
        <f>"2170732076"</f>
        <v>2170732076</v>
      </c>
      <c r="F1517" s="3" t="s">
        <v>17</v>
      </c>
      <c r="G1517" s="3" t="s">
        <v>18</v>
      </c>
      <c r="H1517" s="3" t="s">
        <v>36</v>
      </c>
      <c r="I1517" s="3" t="s">
        <v>37</v>
      </c>
      <c r="J1517" s="3" t="s">
        <v>113</v>
      </c>
      <c r="K1517" s="3" t="s">
        <v>1228</v>
      </c>
      <c r="L1517" s="4">
        <v>0.4069444444444445</v>
      </c>
      <c r="M1517" s="3" t="s">
        <v>383</v>
      </c>
      <c r="N1517" s="3" t="s">
        <v>24</v>
      </c>
      <c r="O1517" s="3" t="s">
        <v>25</v>
      </c>
    </row>
    <row r="1518" spans="1:15">
      <c r="A1518" s="3" t="s">
        <v>15</v>
      </c>
      <c r="B1518" s="3" t="str">
        <f>"FES1162741358"</f>
        <v>FES1162741358</v>
      </c>
      <c r="C1518" s="3" t="s">
        <v>1190</v>
      </c>
      <c r="D1518" s="3">
        <v>1</v>
      </c>
      <c r="E1518" s="3" t="str">
        <f>"2170730797"</f>
        <v>2170730797</v>
      </c>
      <c r="F1518" s="3" t="s">
        <v>17</v>
      </c>
      <c r="G1518" s="3" t="s">
        <v>18</v>
      </c>
      <c r="H1518" s="3" t="s">
        <v>100</v>
      </c>
      <c r="I1518" s="3" t="s">
        <v>101</v>
      </c>
      <c r="J1518" s="3" t="s">
        <v>1296</v>
      </c>
      <c r="K1518" s="3" t="s">
        <v>1228</v>
      </c>
      <c r="L1518" s="4">
        <v>0.41666666666666669</v>
      </c>
      <c r="M1518" s="3" t="s">
        <v>1425</v>
      </c>
      <c r="N1518" s="3" t="s">
        <v>24</v>
      </c>
      <c r="O1518" s="3" t="s">
        <v>25</v>
      </c>
    </row>
    <row r="1519" spans="1:15">
      <c r="A1519" s="3" t="s">
        <v>15</v>
      </c>
      <c r="B1519" s="3" t="str">
        <f>"FES1162740095"</f>
        <v>FES1162740095</v>
      </c>
      <c r="C1519" s="3" t="s">
        <v>1190</v>
      </c>
      <c r="D1519" s="3">
        <v>1</v>
      </c>
      <c r="E1519" s="3" t="str">
        <f>"2170730980"</f>
        <v>2170730980</v>
      </c>
      <c r="F1519" s="3" t="s">
        <v>17</v>
      </c>
      <c r="G1519" s="3" t="s">
        <v>18</v>
      </c>
      <c r="H1519" s="3" t="s">
        <v>100</v>
      </c>
      <c r="I1519" s="3" t="s">
        <v>117</v>
      </c>
      <c r="J1519" s="3" t="s">
        <v>285</v>
      </c>
      <c r="K1519" s="3" t="s">
        <v>1228</v>
      </c>
      <c r="L1519" s="4">
        <v>0.4694444444444445</v>
      </c>
      <c r="M1519" s="3" t="s">
        <v>1426</v>
      </c>
      <c r="N1519" s="3" t="s">
        <v>24</v>
      </c>
      <c r="O1519" s="3" t="s">
        <v>25</v>
      </c>
    </row>
    <row r="1520" spans="1:15">
      <c r="A1520" s="3" t="s">
        <v>15</v>
      </c>
      <c r="B1520" s="3" t="str">
        <f>"FES1162741356"</f>
        <v>FES1162741356</v>
      </c>
      <c r="C1520" s="3" t="s">
        <v>1190</v>
      </c>
      <c r="D1520" s="3">
        <v>1</v>
      </c>
      <c r="E1520" s="3" t="str">
        <f>"2170730783"</f>
        <v>2170730783</v>
      </c>
      <c r="F1520" s="3" t="s">
        <v>17</v>
      </c>
      <c r="G1520" s="3" t="s">
        <v>18</v>
      </c>
      <c r="H1520" s="3" t="s">
        <v>100</v>
      </c>
      <c r="I1520" s="3" t="s">
        <v>101</v>
      </c>
      <c r="J1520" s="3" t="s">
        <v>1427</v>
      </c>
      <c r="K1520" s="3" t="s">
        <v>1228</v>
      </c>
      <c r="L1520" s="4">
        <v>0.4236111111111111</v>
      </c>
      <c r="M1520" s="3" t="s">
        <v>1428</v>
      </c>
      <c r="N1520" s="3" t="s">
        <v>24</v>
      </c>
      <c r="O1520" s="3" t="s">
        <v>25</v>
      </c>
    </row>
    <row r="1521" spans="1:15">
      <c r="A1521" s="3" t="s">
        <v>15</v>
      </c>
      <c r="B1521" s="3" t="str">
        <f>"FES1162741294"</f>
        <v>FES1162741294</v>
      </c>
      <c r="C1521" s="3" t="s">
        <v>1190</v>
      </c>
      <c r="D1521" s="3">
        <v>1</v>
      </c>
      <c r="E1521" s="3" t="str">
        <f>"2170732930"</f>
        <v>2170732930</v>
      </c>
      <c r="F1521" s="3" t="s">
        <v>17</v>
      </c>
      <c r="G1521" s="3" t="s">
        <v>18</v>
      </c>
      <c r="H1521" s="3" t="s">
        <v>18</v>
      </c>
      <c r="I1521" s="3" t="s">
        <v>309</v>
      </c>
      <c r="J1521" s="3" t="s">
        <v>882</v>
      </c>
      <c r="K1521" s="3" t="s">
        <v>1228</v>
      </c>
      <c r="L1521" s="4">
        <v>0.29652777777777778</v>
      </c>
      <c r="M1521" s="3" t="s">
        <v>1429</v>
      </c>
      <c r="N1521" s="3" t="s">
        <v>24</v>
      </c>
      <c r="O1521" s="3" t="s">
        <v>25</v>
      </c>
    </row>
    <row r="1522" spans="1:15">
      <c r="A1522" s="3" t="s">
        <v>15</v>
      </c>
      <c r="B1522" s="3" t="str">
        <f>"FES1162741303"</f>
        <v>FES1162741303</v>
      </c>
      <c r="C1522" s="3" t="s">
        <v>1190</v>
      </c>
      <c r="D1522" s="3">
        <v>1</v>
      </c>
      <c r="E1522" s="3" t="str">
        <f>"2170732938"</f>
        <v>2170732938</v>
      </c>
      <c r="F1522" s="3" t="s">
        <v>17</v>
      </c>
      <c r="G1522" s="3" t="s">
        <v>18</v>
      </c>
      <c r="H1522" s="3" t="s">
        <v>18</v>
      </c>
      <c r="I1522" s="3" t="s">
        <v>33</v>
      </c>
      <c r="J1522" s="3" t="s">
        <v>34</v>
      </c>
      <c r="K1522" s="3" t="s">
        <v>1228</v>
      </c>
      <c r="L1522" s="4">
        <v>0.4236111111111111</v>
      </c>
      <c r="M1522" s="3" t="s">
        <v>1430</v>
      </c>
      <c r="N1522" s="3" t="s">
        <v>24</v>
      </c>
      <c r="O1522" s="3" t="s">
        <v>25</v>
      </c>
    </row>
    <row r="1523" spans="1:15">
      <c r="A1523" s="3" t="s">
        <v>15</v>
      </c>
      <c r="B1523" s="3" t="str">
        <f>"FES1162741479"</f>
        <v>FES1162741479</v>
      </c>
      <c r="C1523" s="3" t="s">
        <v>1190</v>
      </c>
      <c r="D1523" s="3">
        <v>1</v>
      </c>
      <c r="E1523" s="3" t="str">
        <f>"2170733028"</f>
        <v>2170733028</v>
      </c>
      <c r="F1523" s="3" t="s">
        <v>17</v>
      </c>
      <c r="G1523" s="3" t="s">
        <v>18</v>
      </c>
      <c r="H1523" s="3" t="s">
        <v>18</v>
      </c>
      <c r="I1523" s="3" t="s">
        <v>171</v>
      </c>
      <c r="J1523" s="3" t="s">
        <v>1431</v>
      </c>
      <c r="K1523" s="3" t="s">
        <v>1228</v>
      </c>
      <c r="L1523" s="4">
        <v>0.32916666666666666</v>
      </c>
      <c r="M1523" s="3" t="s">
        <v>182</v>
      </c>
      <c r="N1523" s="3" t="s">
        <v>24</v>
      </c>
      <c r="O1523" s="3" t="s">
        <v>25</v>
      </c>
    </row>
    <row r="1524" spans="1:15">
      <c r="A1524" s="5" t="s">
        <v>15</v>
      </c>
      <c r="B1524" s="5" t="str">
        <f>"RFES1162740972"</f>
        <v>RFES1162740972</v>
      </c>
      <c r="C1524" s="5" t="s">
        <v>1190</v>
      </c>
      <c r="D1524" s="5">
        <v>1</v>
      </c>
      <c r="E1524" s="5" t="str">
        <f>"2170732329"</f>
        <v>2170732329</v>
      </c>
      <c r="F1524" s="5" t="s">
        <v>17</v>
      </c>
      <c r="G1524" s="5" t="s">
        <v>66</v>
      </c>
      <c r="H1524" s="5" t="s">
        <v>18</v>
      </c>
      <c r="I1524" s="5" t="s">
        <v>29</v>
      </c>
      <c r="J1524" s="5" t="s">
        <v>30</v>
      </c>
      <c r="K1524" s="5" t="s">
        <v>1228</v>
      </c>
      <c r="L1524" s="6">
        <v>0.3347222222222222</v>
      </c>
      <c r="M1524" s="5" t="s">
        <v>1432</v>
      </c>
      <c r="N1524" s="5" t="s">
        <v>24</v>
      </c>
      <c r="O1524" s="5" t="s">
        <v>25</v>
      </c>
    </row>
    <row r="1525" spans="1:15">
      <c r="A1525" s="5" t="s">
        <v>15</v>
      </c>
      <c r="B1525" s="5" t="str">
        <f>"FES1162741274"</f>
        <v>FES1162741274</v>
      </c>
      <c r="C1525" s="5" t="s">
        <v>1190</v>
      </c>
      <c r="D1525" s="5">
        <v>1</v>
      </c>
      <c r="E1525" s="5" t="str">
        <f>"2170732710"</f>
        <v>2170732710</v>
      </c>
      <c r="F1525" s="5" t="s">
        <v>17</v>
      </c>
      <c r="G1525" s="5" t="s">
        <v>18</v>
      </c>
      <c r="H1525" s="5" t="s">
        <v>18</v>
      </c>
      <c r="I1525" s="5" t="s">
        <v>206</v>
      </c>
      <c r="J1525" s="5" t="s">
        <v>207</v>
      </c>
      <c r="K1525" s="5" t="s">
        <v>1228</v>
      </c>
      <c r="L1525" s="6">
        <v>0.33333333333333331</v>
      </c>
      <c r="M1525" s="5" t="s">
        <v>1433</v>
      </c>
      <c r="N1525" s="5" t="s">
        <v>24</v>
      </c>
      <c r="O1525" s="5" t="s">
        <v>25</v>
      </c>
    </row>
    <row r="1526" spans="1:15">
      <c r="A1526" s="5" t="s">
        <v>15</v>
      </c>
      <c r="B1526" s="5" t="str">
        <f>"FES1162741344"</f>
        <v>FES1162741344</v>
      </c>
      <c r="C1526" s="5" t="s">
        <v>1190</v>
      </c>
      <c r="D1526" s="5">
        <v>1</v>
      </c>
      <c r="E1526" s="5" t="str">
        <f>"2170730685"</f>
        <v>2170730685</v>
      </c>
      <c r="F1526" s="5" t="s">
        <v>17</v>
      </c>
      <c r="G1526" s="5" t="s">
        <v>18</v>
      </c>
      <c r="H1526" s="5" t="s">
        <v>100</v>
      </c>
      <c r="I1526" s="5" t="s">
        <v>101</v>
      </c>
      <c r="J1526" s="5" t="s">
        <v>760</v>
      </c>
      <c r="K1526" s="5" t="s">
        <v>1228</v>
      </c>
      <c r="L1526" s="6">
        <v>0.4375</v>
      </c>
      <c r="M1526" s="5" t="s">
        <v>1434</v>
      </c>
      <c r="N1526" s="5" t="s">
        <v>24</v>
      </c>
      <c r="O1526" s="5" t="s">
        <v>25</v>
      </c>
    </row>
    <row r="1527" spans="1:15">
      <c r="A1527" s="5" t="s">
        <v>15</v>
      </c>
      <c r="B1527" s="5" t="str">
        <f>"FES1162741322"</f>
        <v>FES1162741322</v>
      </c>
      <c r="C1527" s="5" t="s">
        <v>1190</v>
      </c>
      <c r="D1527" s="5">
        <v>1</v>
      </c>
      <c r="E1527" s="5" t="str">
        <f>"2170729705"</f>
        <v>2170729705</v>
      </c>
      <c r="F1527" s="5" t="s">
        <v>17</v>
      </c>
      <c r="G1527" s="5" t="s">
        <v>18</v>
      </c>
      <c r="H1527" s="5" t="s">
        <v>66</v>
      </c>
      <c r="I1527" s="5" t="s">
        <v>177</v>
      </c>
      <c r="J1527" s="5" t="s">
        <v>590</v>
      </c>
      <c r="K1527" s="5" t="s">
        <v>1228</v>
      </c>
      <c r="L1527" s="6">
        <v>0.4375</v>
      </c>
      <c r="M1527" s="5" t="s">
        <v>1435</v>
      </c>
      <c r="N1527" s="5" t="s">
        <v>24</v>
      </c>
      <c r="O1527" s="5" t="s">
        <v>728</v>
      </c>
    </row>
    <row r="1528" spans="1:15">
      <c r="A1528" s="5" t="s">
        <v>15</v>
      </c>
      <c r="B1528" s="5" t="str">
        <f>"FES1162741269"</f>
        <v>FES1162741269</v>
      </c>
      <c r="C1528" s="5" t="s">
        <v>1190</v>
      </c>
      <c r="D1528" s="5">
        <v>1</v>
      </c>
      <c r="E1528" s="5" t="str">
        <f>"2170732901"</f>
        <v>2170732901</v>
      </c>
      <c r="F1528" s="5" t="s">
        <v>17</v>
      </c>
      <c r="G1528" s="5" t="s">
        <v>18</v>
      </c>
      <c r="H1528" s="5" t="s">
        <v>18</v>
      </c>
      <c r="I1528" s="5" t="s">
        <v>151</v>
      </c>
      <c r="J1528" s="5" t="s">
        <v>322</v>
      </c>
      <c r="K1528" s="5" t="s">
        <v>1228</v>
      </c>
      <c r="L1528" s="6">
        <v>0.4375</v>
      </c>
      <c r="M1528" s="5" t="s">
        <v>1436</v>
      </c>
      <c r="N1528" s="5" t="s">
        <v>24</v>
      </c>
      <c r="O1528" s="5" t="s">
        <v>728</v>
      </c>
    </row>
    <row r="1529" spans="1:15">
      <c r="A1529" s="5" t="s">
        <v>15</v>
      </c>
      <c r="B1529" s="5" t="str">
        <f>"FES1162741295"</f>
        <v>FES1162741295</v>
      </c>
      <c r="C1529" s="5" t="s">
        <v>1190</v>
      </c>
      <c r="D1529" s="5">
        <v>1</v>
      </c>
      <c r="E1529" s="5" t="str">
        <f>"2170732931"</f>
        <v>2170732931</v>
      </c>
      <c r="F1529" s="5" t="s">
        <v>17</v>
      </c>
      <c r="G1529" s="5" t="s">
        <v>18</v>
      </c>
      <c r="H1529" s="5" t="s">
        <v>18</v>
      </c>
      <c r="I1529" s="5" t="s">
        <v>171</v>
      </c>
      <c r="J1529" s="5" t="s">
        <v>522</v>
      </c>
      <c r="K1529" s="5" t="s">
        <v>1228</v>
      </c>
      <c r="L1529" s="6">
        <v>0.41666666666666669</v>
      </c>
      <c r="M1529" s="5" t="s">
        <v>1437</v>
      </c>
      <c r="N1529" s="5" t="s">
        <v>24</v>
      </c>
      <c r="O1529" s="5" t="s">
        <v>25</v>
      </c>
    </row>
    <row r="1530" spans="1:15">
      <c r="A1530" s="5" t="s">
        <v>15</v>
      </c>
      <c r="B1530" s="5" t="str">
        <f>"FES1162741287"</f>
        <v>FES1162741287</v>
      </c>
      <c r="C1530" s="5" t="s">
        <v>1190</v>
      </c>
      <c r="D1530" s="5">
        <v>1</v>
      </c>
      <c r="E1530" s="5" t="str">
        <f>"2170732918"</f>
        <v>2170732918</v>
      </c>
      <c r="F1530" s="5" t="s">
        <v>17</v>
      </c>
      <c r="G1530" s="5" t="s">
        <v>18</v>
      </c>
      <c r="H1530" s="5" t="s">
        <v>18</v>
      </c>
      <c r="I1530" s="5" t="s">
        <v>33</v>
      </c>
      <c r="J1530" s="5" t="s">
        <v>471</v>
      </c>
      <c r="K1530" s="5" t="s">
        <v>1228</v>
      </c>
      <c r="L1530" s="6">
        <v>0.4284722222222222</v>
      </c>
      <c r="M1530" s="5" t="s">
        <v>523</v>
      </c>
      <c r="N1530" s="5" t="s">
        <v>24</v>
      </c>
      <c r="O1530" s="5" t="s">
        <v>25</v>
      </c>
    </row>
    <row r="1531" spans="1:15">
      <c r="A1531" s="5" t="s">
        <v>15</v>
      </c>
      <c r="B1531" s="5" t="str">
        <f>"FES1162741388"</f>
        <v>FES1162741388</v>
      </c>
      <c r="C1531" s="5" t="s">
        <v>1190</v>
      </c>
      <c r="D1531" s="5">
        <v>1</v>
      </c>
      <c r="E1531" s="5" t="str">
        <f>"2170731080"</f>
        <v>2170731080</v>
      </c>
      <c r="F1531" s="5" t="s">
        <v>17</v>
      </c>
      <c r="G1531" s="5" t="s">
        <v>18</v>
      </c>
      <c r="H1531" s="5" t="s">
        <v>36</v>
      </c>
      <c r="I1531" s="5" t="s">
        <v>37</v>
      </c>
      <c r="J1531" s="5" t="s">
        <v>260</v>
      </c>
      <c r="K1531" s="5" t="s">
        <v>1228</v>
      </c>
      <c r="L1531" s="6">
        <v>0.36319444444444443</v>
      </c>
      <c r="M1531" s="5" t="s">
        <v>788</v>
      </c>
      <c r="N1531" s="5" t="s">
        <v>24</v>
      </c>
      <c r="O1531" s="5" t="s">
        <v>25</v>
      </c>
    </row>
    <row r="1532" spans="1:15">
      <c r="A1532" s="5" t="s">
        <v>15</v>
      </c>
      <c r="B1532" s="5" t="str">
        <f>"FES1162741351"</f>
        <v>FES1162741351</v>
      </c>
      <c r="C1532" s="5" t="s">
        <v>1190</v>
      </c>
      <c r="D1532" s="5">
        <v>1</v>
      </c>
      <c r="E1532" s="5" t="str">
        <f>"2170730730"</f>
        <v>2170730730</v>
      </c>
      <c r="F1532" s="5" t="s">
        <v>17</v>
      </c>
      <c r="G1532" s="5" t="s">
        <v>18</v>
      </c>
      <c r="H1532" s="5" t="s">
        <v>100</v>
      </c>
      <c r="I1532" s="5" t="s">
        <v>155</v>
      </c>
      <c r="J1532" s="5" t="s">
        <v>1438</v>
      </c>
      <c r="K1532" s="5" t="s">
        <v>1228</v>
      </c>
      <c r="L1532" s="6">
        <v>0.35347222222222219</v>
      </c>
      <c r="M1532" s="5" t="s">
        <v>387</v>
      </c>
      <c r="N1532" s="5" t="s">
        <v>24</v>
      </c>
      <c r="O1532" s="5" t="s">
        <v>25</v>
      </c>
    </row>
    <row r="1533" spans="1:15">
      <c r="A1533" s="5" t="s">
        <v>15</v>
      </c>
      <c r="B1533" s="5" t="str">
        <f>"FES1162741347"</f>
        <v>FES1162741347</v>
      </c>
      <c r="C1533" s="5" t="s">
        <v>1190</v>
      </c>
      <c r="D1533" s="5">
        <v>1</v>
      </c>
      <c r="E1533" s="5" t="str">
        <f>"2170730710"</f>
        <v>2170730710</v>
      </c>
      <c r="F1533" s="5" t="s">
        <v>17</v>
      </c>
      <c r="G1533" s="5" t="s">
        <v>18</v>
      </c>
      <c r="H1533" s="5" t="s">
        <v>100</v>
      </c>
      <c r="I1533" s="5" t="s">
        <v>117</v>
      </c>
      <c r="J1533" s="5" t="s">
        <v>335</v>
      </c>
      <c r="K1533" s="5" t="s">
        <v>1228</v>
      </c>
      <c r="L1533" s="6">
        <v>0.45763888888888887</v>
      </c>
      <c r="M1533" s="5" t="s">
        <v>626</v>
      </c>
      <c r="N1533" s="5" t="s">
        <v>24</v>
      </c>
      <c r="O1533" s="5" t="s">
        <v>25</v>
      </c>
    </row>
    <row r="1534" spans="1:15">
      <c r="A1534" s="3" t="s">
        <v>15</v>
      </c>
      <c r="B1534" s="3" t="str">
        <f>"FES1162741366"</f>
        <v>FES1162741366</v>
      </c>
      <c r="C1534" s="3" t="s">
        <v>1190</v>
      </c>
      <c r="D1534" s="3">
        <v>1</v>
      </c>
      <c r="E1534" s="3" t="str">
        <f>"2170730861"</f>
        <v>2170730861</v>
      </c>
      <c r="F1534" s="3" t="s">
        <v>17</v>
      </c>
      <c r="G1534" s="3" t="s">
        <v>18</v>
      </c>
      <c r="H1534" s="3" t="s">
        <v>100</v>
      </c>
      <c r="I1534" s="3" t="s">
        <v>155</v>
      </c>
      <c r="J1534" s="3" t="s">
        <v>489</v>
      </c>
      <c r="K1534" s="3" t="s">
        <v>1228</v>
      </c>
      <c r="L1534" s="4">
        <v>0.4375</v>
      </c>
      <c r="M1534" s="3" t="s">
        <v>1424</v>
      </c>
      <c r="N1534" s="3" t="s">
        <v>24</v>
      </c>
      <c r="O1534" s="3" t="s">
        <v>25</v>
      </c>
    </row>
    <row r="1535" spans="1:15">
      <c r="A1535" s="3" t="s">
        <v>15</v>
      </c>
      <c r="B1535" s="3" t="str">
        <f>"FES1162741275"</f>
        <v>FES1162741275</v>
      </c>
      <c r="C1535" s="3" t="s">
        <v>1190</v>
      </c>
      <c r="D1535" s="3">
        <v>1</v>
      </c>
      <c r="E1535" s="3" t="str">
        <f>"2170732729"</f>
        <v>2170732729</v>
      </c>
      <c r="F1535" s="3" t="s">
        <v>17</v>
      </c>
      <c r="G1535" s="3" t="s">
        <v>18</v>
      </c>
      <c r="H1535" s="3" t="s">
        <v>100</v>
      </c>
      <c r="I1535" s="3" t="s">
        <v>101</v>
      </c>
      <c r="J1535" s="3" t="s">
        <v>125</v>
      </c>
      <c r="K1535" s="3" t="s">
        <v>1228</v>
      </c>
      <c r="L1535" s="4">
        <v>0.2951388888888889</v>
      </c>
      <c r="M1535" s="3" t="s">
        <v>200</v>
      </c>
      <c r="N1535" s="3" t="s">
        <v>24</v>
      </c>
      <c r="O1535" s="3" t="s">
        <v>25</v>
      </c>
    </row>
    <row r="1536" spans="1:15">
      <c r="A1536" s="3" t="s">
        <v>15</v>
      </c>
      <c r="B1536" s="3" t="str">
        <f>"FES1162741474"</f>
        <v>FES1162741474</v>
      </c>
      <c r="C1536" s="3" t="s">
        <v>1190</v>
      </c>
      <c r="D1536" s="3">
        <v>1</v>
      </c>
      <c r="E1536" s="3" t="str">
        <f>"2170732873"</f>
        <v>2170732873</v>
      </c>
      <c r="F1536" s="3" t="s">
        <v>17</v>
      </c>
      <c r="G1536" s="3" t="s">
        <v>18</v>
      </c>
      <c r="H1536" s="3" t="s">
        <v>66</v>
      </c>
      <c r="I1536" s="3" t="s">
        <v>67</v>
      </c>
      <c r="J1536" s="3" t="s">
        <v>138</v>
      </c>
      <c r="K1536" s="3" t="s">
        <v>1228</v>
      </c>
      <c r="L1536" s="4">
        <v>0.40486111111111112</v>
      </c>
      <c r="M1536" s="3" t="s">
        <v>1439</v>
      </c>
      <c r="N1536" s="3" t="s">
        <v>24</v>
      </c>
      <c r="O1536" s="3" t="s">
        <v>25</v>
      </c>
    </row>
    <row r="1537" spans="1:15">
      <c r="A1537" s="3" t="s">
        <v>15</v>
      </c>
      <c r="B1537" s="3" t="str">
        <f>"FES1162741367"</f>
        <v>FES1162741367</v>
      </c>
      <c r="C1537" s="3" t="s">
        <v>1190</v>
      </c>
      <c r="D1537" s="3">
        <v>1</v>
      </c>
      <c r="E1537" s="3" t="str">
        <f>"2170730865"</f>
        <v>2170730865</v>
      </c>
      <c r="F1537" s="3" t="s">
        <v>17</v>
      </c>
      <c r="G1537" s="3" t="s">
        <v>18</v>
      </c>
      <c r="H1537" s="3" t="s">
        <v>36</v>
      </c>
      <c r="I1537" s="3" t="s">
        <v>330</v>
      </c>
      <c r="J1537" s="3" t="s">
        <v>331</v>
      </c>
      <c r="K1537" s="3" t="s">
        <v>1228</v>
      </c>
      <c r="L1537" s="4">
        <v>0.40277777777777773</v>
      </c>
      <c r="M1537" s="3" t="s">
        <v>332</v>
      </c>
      <c r="N1537" s="3" t="s">
        <v>24</v>
      </c>
      <c r="O1537" s="3" t="s">
        <v>25</v>
      </c>
    </row>
    <row r="1538" spans="1:15">
      <c r="A1538" s="3" t="s">
        <v>15</v>
      </c>
      <c r="B1538" s="3" t="str">
        <f>"FES1162741360"</f>
        <v>FES1162741360</v>
      </c>
      <c r="C1538" s="3" t="s">
        <v>1190</v>
      </c>
      <c r="D1538" s="3">
        <v>1</v>
      </c>
      <c r="E1538" s="3" t="str">
        <f>"2170730808"</f>
        <v>2170730808</v>
      </c>
      <c r="F1538" s="3" t="s">
        <v>17</v>
      </c>
      <c r="G1538" s="3" t="s">
        <v>18</v>
      </c>
      <c r="H1538" s="3" t="s">
        <v>36</v>
      </c>
      <c r="I1538" s="3" t="s">
        <v>1440</v>
      </c>
      <c r="J1538" s="3" t="s">
        <v>1441</v>
      </c>
      <c r="K1538" s="3" t="s">
        <v>1228</v>
      </c>
      <c r="L1538" s="4">
        <v>0.40277777777777773</v>
      </c>
      <c r="M1538" s="3" t="s">
        <v>1442</v>
      </c>
      <c r="N1538" s="3" t="s">
        <v>24</v>
      </c>
      <c r="O1538" s="3" t="s">
        <v>25</v>
      </c>
    </row>
    <row r="1539" spans="1:15">
      <c r="A1539" s="3" t="s">
        <v>15</v>
      </c>
      <c r="B1539" s="3" t="str">
        <f>"FES1162741397"</f>
        <v>FES1162741397</v>
      </c>
      <c r="C1539" s="3" t="s">
        <v>1190</v>
      </c>
      <c r="D1539" s="3">
        <v>1</v>
      </c>
      <c r="E1539" s="3" t="str">
        <f>"217073143"</f>
        <v>217073143</v>
      </c>
      <c r="F1539" s="3" t="s">
        <v>17</v>
      </c>
      <c r="G1539" s="3" t="s">
        <v>18</v>
      </c>
      <c r="H1539" s="3" t="s">
        <v>100</v>
      </c>
      <c r="I1539" s="3" t="s">
        <v>155</v>
      </c>
      <c r="J1539" s="3" t="s">
        <v>489</v>
      </c>
      <c r="K1539" s="3" t="s">
        <v>1228</v>
      </c>
      <c r="L1539" s="4">
        <v>0.4375</v>
      </c>
      <c r="M1539" s="3" t="s">
        <v>1424</v>
      </c>
      <c r="N1539" s="3" t="s">
        <v>24</v>
      </c>
      <c r="O1539" s="3" t="s">
        <v>25</v>
      </c>
    </row>
    <row r="1540" spans="1:15">
      <c r="A1540" s="3" t="s">
        <v>15</v>
      </c>
      <c r="B1540" s="3" t="str">
        <f>"FES1162741273"</f>
        <v>FES1162741273</v>
      </c>
      <c r="C1540" s="3" t="s">
        <v>1190</v>
      </c>
      <c r="D1540" s="3">
        <v>2</v>
      </c>
      <c r="E1540" s="3" t="str">
        <f>"2170732520"</f>
        <v>2170732520</v>
      </c>
      <c r="F1540" s="3" t="s">
        <v>17</v>
      </c>
      <c r="G1540" s="3" t="s">
        <v>18</v>
      </c>
      <c r="H1540" s="3" t="s">
        <v>18</v>
      </c>
      <c r="I1540" s="3" t="s">
        <v>171</v>
      </c>
      <c r="J1540" s="3" t="s">
        <v>522</v>
      </c>
      <c r="K1540" s="3" t="s">
        <v>1228</v>
      </c>
      <c r="L1540" s="4">
        <v>0.28333333333333333</v>
      </c>
      <c r="M1540" s="3" t="s">
        <v>1437</v>
      </c>
      <c r="N1540" s="3" t="s">
        <v>24</v>
      </c>
      <c r="O1540" s="3" t="s">
        <v>25</v>
      </c>
    </row>
    <row r="1541" spans="1:15">
      <c r="A1541" s="3" t="s">
        <v>15</v>
      </c>
      <c r="B1541" s="3" t="str">
        <f>"FES1162741309"</f>
        <v>FES1162741309</v>
      </c>
      <c r="C1541" s="3" t="s">
        <v>1190</v>
      </c>
      <c r="D1541" s="3">
        <v>1</v>
      </c>
      <c r="E1541" s="3" t="str">
        <f>"21707232947"</f>
        <v>21707232947</v>
      </c>
      <c r="F1541" s="3" t="s">
        <v>17</v>
      </c>
      <c r="G1541" s="3" t="s">
        <v>18</v>
      </c>
      <c r="H1541" s="3" t="s">
        <v>36</v>
      </c>
      <c r="I1541" s="3" t="s">
        <v>37</v>
      </c>
      <c r="J1541" s="3" t="s">
        <v>133</v>
      </c>
      <c r="K1541" s="3" t="s">
        <v>1228</v>
      </c>
      <c r="L1541" s="4">
        <v>0.41180555555555554</v>
      </c>
      <c r="M1541" s="3" t="s">
        <v>1443</v>
      </c>
      <c r="N1541" s="3" t="s">
        <v>24</v>
      </c>
      <c r="O1541" s="3" t="s">
        <v>25</v>
      </c>
    </row>
    <row r="1542" spans="1:15">
      <c r="A1542" s="3" t="s">
        <v>15</v>
      </c>
      <c r="B1542" s="3" t="str">
        <f>"FES1162741288"</f>
        <v>FES1162741288</v>
      </c>
      <c r="C1542" s="3" t="s">
        <v>1190</v>
      </c>
      <c r="D1542" s="3">
        <v>1</v>
      </c>
      <c r="E1542" s="3" t="str">
        <f>"2170732919"</f>
        <v>2170732919</v>
      </c>
      <c r="F1542" s="3" t="s">
        <v>17</v>
      </c>
      <c r="G1542" s="3" t="s">
        <v>18</v>
      </c>
      <c r="H1542" s="3" t="s">
        <v>18</v>
      </c>
      <c r="I1542" s="3" t="s">
        <v>222</v>
      </c>
      <c r="J1542" s="3" t="s">
        <v>716</v>
      </c>
      <c r="K1542" s="3" t="s">
        <v>1228</v>
      </c>
      <c r="L1542" s="4">
        <v>0.40277777777777773</v>
      </c>
      <c r="M1542" s="3" t="s">
        <v>200</v>
      </c>
      <c r="N1542" s="3" t="s">
        <v>24</v>
      </c>
      <c r="O1542" s="3" t="s">
        <v>25</v>
      </c>
    </row>
    <row r="1543" spans="1:15">
      <c r="A1543" s="3" t="s">
        <v>15</v>
      </c>
      <c r="B1543" s="3" t="str">
        <f>"FES1162741352"</f>
        <v>FES1162741352</v>
      </c>
      <c r="C1543" s="3" t="s">
        <v>1190</v>
      </c>
      <c r="D1543" s="3">
        <v>1</v>
      </c>
      <c r="E1543" s="3" t="str">
        <f>"2170730731"</f>
        <v>2170730731</v>
      </c>
      <c r="F1543" s="3" t="s">
        <v>17</v>
      </c>
      <c r="G1543" s="3" t="s">
        <v>18</v>
      </c>
      <c r="H1543" s="3" t="s">
        <v>100</v>
      </c>
      <c r="I1543" s="3" t="s">
        <v>101</v>
      </c>
      <c r="J1543" s="3" t="s">
        <v>1156</v>
      </c>
      <c r="K1543" s="3" t="s">
        <v>1228</v>
      </c>
      <c r="L1543" s="4">
        <v>0.4375</v>
      </c>
      <c r="M1543" s="3" t="s">
        <v>1444</v>
      </c>
      <c r="N1543" s="3" t="s">
        <v>24</v>
      </c>
      <c r="O1543" s="3" t="s">
        <v>25</v>
      </c>
    </row>
    <row r="1544" spans="1:15">
      <c r="A1544" s="3" t="s">
        <v>15</v>
      </c>
      <c r="B1544" s="3" t="str">
        <f>"FES1162741387"</f>
        <v>FES1162741387</v>
      </c>
      <c r="C1544" s="3" t="s">
        <v>1190</v>
      </c>
      <c r="D1544" s="3">
        <v>1</v>
      </c>
      <c r="E1544" s="3" t="str">
        <f>"2170731063"</f>
        <v>2170731063</v>
      </c>
      <c r="F1544" s="3" t="s">
        <v>17</v>
      </c>
      <c r="G1544" s="3" t="s">
        <v>18</v>
      </c>
      <c r="H1544" s="3" t="s">
        <v>100</v>
      </c>
      <c r="I1544" s="3" t="s">
        <v>101</v>
      </c>
      <c r="J1544" s="3" t="s">
        <v>195</v>
      </c>
      <c r="K1544" s="3" t="s">
        <v>1228</v>
      </c>
      <c r="L1544" s="4">
        <v>0.41666666666666669</v>
      </c>
      <c r="M1544" s="3" t="s">
        <v>1445</v>
      </c>
      <c r="N1544" s="3" t="s">
        <v>24</v>
      </c>
      <c r="O1544" s="3" t="s">
        <v>25</v>
      </c>
    </row>
    <row r="1545" spans="1:15">
      <c r="A1545" s="3" t="s">
        <v>15</v>
      </c>
      <c r="B1545" s="3" t="str">
        <f>"FES1162741235"</f>
        <v>FES1162741235</v>
      </c>
      <c r="C1545" s="3" t="s">
        <v>1190</v>
      </c>
      <c r="D1545" s="3">
        <v>1</v>
      </c>
      <c r="E1545" s="3" t="str">
        <f>"2170732861"</f>
        <v>2170732861</v>
      </c>
      <c r="F1545" s="3" t="s">
        <v>17</v>
      </c>
      <c r="G1545" s="3" t="s">
        <v>18</v>
      </c>
      <c r="H1545" s="3" t="s">
        <v>18</v>
      </c>
      <c r="I1545" s="3" t="s">
        <v>206</v>
      </c>
      <c r="J1545" s="3" t="s">
        <v>207</v>
      </c>
      <c r="K1545" s="3" t="s">
        <v>1228</v>
      </c>
      <c r="L1545" s="4">
        <v>0.33333333333333331</v>
      </c>
      <c r="M1545" s="3" t="s">
        <v>1433</v>
      </c>
      <c r="N1545" s="3" t="s">
        <v>24</v>
      </c>
      <c r="O1545" s="3" t="s">
        <v>25</v>
      </c>
    </row>
    <row r="1546" spans="1:15">
      <c r="A1546" s="3" t="s">
        <v>15</v>
      </c>
      <c r="B1546" s="3" t="str">
        <f>"FES1162741285"</f>
        <v>FES1162741285</v>
      </c>
      <c r="C1546" s="3" t="s">
        <v>1190</v>
      </c>
      <c r="D1546" s="3">
        <v>1</v>
      </c>
      <c r="E1546" s="3" t="str">
        <f>"2170732916"</f>
        <v>2170732916</v>
      </c>
      <c r="F1546" s="3" t="s">
        <v>17</v>
      </c>
      <c r="G1546" s="3" t="s">
        <v>18</v>
      </c>
      <c r="H1546" s="3" t="s">
        <v>18</v>
      </c>
      <c r="I1546" s="3" t="s">
        <v>291</v>
      </c>
      <c r="J1546" s="3" t="s">
        <v>1446</v>
      </c>
      <c r="K1546" s="3" t="s">
        <v>1228</v>
      </c>
      <c r="L1546" s="4">
        <v>0.4375</v>
      </c>
      <c r="M1546" s="3" t="s">
        <v>1447</v>
      </c>
      <c r="N1546" s="3" t="s">
        <v>24</v>
      </c>
      <c r="O1546" s="3" t="s">
        <v>25</v>
      </c>
    </row>
    <row r="1547" spans="1:15">
      <c r="A1547" s="3" t="s">
        <v>15</v>
      </c>
      <c r="B1547" s="3" t="str">
        <f>"FES1162741415"</f>
        <v>FES1162741415</v>
      </c>
      <c r="C1547" s="3" t="s">
        <v>1190</v>
      </c>
      <c r="D1547" s="3">
        <v>1</v>
      </c>
      <c r="E1547" s="3" t="str">
        <f>"2170732692"</f>
        <v>2170732692</v>
      </c>
      <c r="F1547" s="3" t="s">
        <v>17</v>
      </c>
      <c r="G1547" s="3" t="s">
        <v>18</v>
      </c>
      <c r="H1547" s="3" t="s">
        <v>100</v>
      </c>
      <c r="I1547" s="3" t="s">
        <v>101</v>
      </c>
      <c r="J1547" s="3" t="s">
        <v>1010</v>
      </c>
      <c r="K1547" s="3" t="s">
        <v>1228</v>
      </c>
      <c r="L1547" s="4">
        <v>0.41666666666666669</v>
      </c>
      <c r="M1547" s="3" t="s">
        <v>1448</v>
      </c>
      <c r="N1547" s="3" t="s">
        <v>24</v>
      </c>
      <c r="O1547" s="3" t="s">
        <v>25</v>
      </c>
    </row>
    <row r="1548" spans="1:15">
      <c r="A1548" s="3" t="s">
        <v>15</v>
      </c>
      <c r="B1548" s="3" t="str">
        <f>"FES1162741371"</f>
        <v>FES1162741371</v>
      </c>
      <c r="C1548" s="3" t="s">
        <v>1190</v>
      </c>
      <c r="D1548" s="3">
        <v>1</v>
      </c>
      <c r="E1548" s="3" t="str">
        <f>"2170730919"</f>
        <v>2170730919</v>
      </c>
      <c r="F1548" s="3" t="s">
        <v>17</v>
      </c>
      <c r="G1548" s="3" t="s">
        <v>18</v>
      </c>
      <c r="H1548" s="3" t="s">
        <v>100</v>
      </c>
      <c r="I1548" s="3" t="s">
        <v>101</v>
      </c>
      <c r="J1548" s="3" t="s">
        <v>131</v>
      </c>
      <c r="K1548" s="3" t="s">
        <v>1228</v>
      </c>
      <c r="L1548" s="4">
        <v>0.4375</v>
      </c>
      <c r="M1548" s="3" t="s">
        <v>357</v>
      </c>
      <c r="N1548" s="3" t="s">
        <v>24</v>
      </c>
      <c r="O1548" s="3" t="s">
        <v>25</v>
      </c>
    </row>
    <row r="1549" spans="1:15">
      <c r="A1549" s="3" t="s">
        <v>15</v>
      </c>
      <c r="B1549" s="3" t="str">
        <f>"FES1162741203"</f>
        <v>FES1162741203</v>
      </c>
      <c r="C1549" s="3" t="s">
        <v>1190</v>
      </c>
      <c r="D1549" s="3">
        <v>1</v>
      </c>
      <c r="E1549" s="3" t="str">
        <f>"2170732616"</f>
        <v>2170732616</v>
      </c>
      <c r="F1549" s="3" t="s">
        <v>17</v>
      </c>
      <c r="G1549" s="3" t="s">
        <v>18</v>
      </c>
      <c r="H1549" s="3" t="s">
        <v>18</v>
      </c>
      <c r="I1549" s="3" t="s">
        <v>29</v>
      </c>
      <c r="J1549" s="3" t="s">
        <v>270</v>
      </c>
      <c r="K1549" s="3" t="s">
        <v>1228</v>
      </c>
      <c r="L1549" s="4">
        <v>0.33333333333333331</v>
      </c>
      <c r="M1549" s="3" t="s">
        <v>326</v>
      </c>
      <c r="N1549" s="3" t="s">
        <v>24</v>
      </c>
      <c r="O1549" s="3" t="s">
        <v>25</v>
      </c>
    </row>
    <row r="1550" spans="1:15">
      <c r="A1550" s="3" t="s">
        <v>15</v>
      </c>
      <c r="B1550" s="3" t="str">
        <f>"FES1162741378"</f>
        <v>FES1162741378</v>
      </c>
      <c r="C1550" s="3" t="s">
        <v>1190</v>
      </c>
      <c r="D1550" s="3">
        <v>1</v>
      </c>
      <c r="E1550" s="3" t="str">
        <f>"2170730963"</f>
        <v>2170730963</v>
      </c>
      <c r="F1550" s="3" t="s">
        <v>17</v>
      </c>
      <c r="G1550" s="3" t="s">
        <v>18</v>
      </c>
      <c r="H1550" s="3" t="s">
        <v>100</v>
      </c>
      <c r="I1550" s="3" t="s">
        <v>117</v>
      </c>
      <c r="J1550" s="3" t="s">
        <v>118</v>
      </c>
      <c r="K1550" s="3" t="s">
        <v>1228</v>
      </c>
      <c r="L1550" s="4">
        <v>0.4770833333333333</v>
      </c>
      <c r="M1550" s="3" t="s">
        <v>160</v>
      </c>
      <c r="N1550" s="3" t="s">
        <v>24</v>
      </c>
      <c r="O1550" s="3" t="s">
        <v>25</v>
      </c>
    </row>
    <row r="1551" spans="1:15">
      <c r="A1551" s="3" t="s">
        <v>15</v>
      </c>
      <c r="B1551" s="3" t="str">
        <f>"FES1162741338"</f>
        <v>FES1162741338</v>
      </c>
      <c r="C1551" s="3" t="s">
        <v>1190</v>
      </c>
      <c r="D1551" s="3">
        <v>1</v>
      </c>
      <c r="E1551" s="3" t="str">
        <f>"2170730602"</f>
        <v>2170730602</v>
      </c>
      <c r="F1551" s="3" t="s">
        <v>17</v>
      </c>
      <c r="G1551" s="3" t="s">
        <v>18</v>
      </c>
      <c r="H1551" s="3" t="s">
        <v>100</v>
      </c>
      <c r="I1551" s="3" t="s">
        <v>144</v>
      </c>
      <c r="J1551" s="3" t="s">
        <v>145</v>
      </c>
      <c r="K1551" s="3" t="s">
        <v>1228</v>
      </c>
      <c r="L1551" s="4">
        <v>0.37013888888888885</v>
      </c>
      <c r="M1551" s="3" t="s">
        <v>1449</v>
      </c>
      <c r="N1551" s="3" t="s">
        <v>24</v>
      </c>
      <c r="O1551" s="3" t="s">
        <v>25</v>
      </c>
    </row>
    <row r="1552" spans="1:15">
      <c r="A1552" s="3" t="s">
        <v>15</v>
      </c>
      <c r="B1552" s="3" t="str">
        <f>"FES1162741319"</f>
        <v>FES1162741319</v>
      </c>
      <c r="C1552" s="3" t="s">
        <v>1190</v>
      </c>
      <c r="D1552" s="3">
        <v>1</v>
      </c>
      <c r="E1552" s="3" t="str">
        <f>"2170729252"</f>
        <v>2170729252</v>
      </c>
      <c r="F1552" s="3" t="s">
        <v>17</v>
      </c>
      <c r="G1552" s="3" t="s">
        <v>18</v>
      </c>
      <c r="H1552" s="3" t="s">
        <v>19</v>
      </c>
      <c r="I1552" s="3" t="s">
        <v>20</v>
      </c>
      <c r="J1552" s="3" t="s">
        <v>56</v>
      </c>
      <c r="K1552" s="3" t="s">
        <v>1228</v>
      </c>
      <c r="L1552" s="4">
        <v>0.42222222222222222</v>
      </c>
      <c r="M1552" s="3" t="s">
        <v>57</v>
      </c>
      <c r="N1552" s="3" t="s">
        <v>24</v>
      </c>
      <c r="O1552" s="3" t="s">
        <v>25</v>
      </c>
    </row>
    <row r="1553" spans="1:15">
      <c r="A1553" s="3" t="s">
        <v>15</v>
      </c>
      <c r="B1553" s="3" t="str">
        <f>"FES1162741372"</f>
        <v>FES1162741372</v>
      </c>
      <c r="C1553" s="3" t="s">
        <v>1190</v>
      </c>
      <c r="D1553" s="3">
        <v>1</v>
      </c>
      <c r="E1553" s="3" t="str">
        <f>"2170730931"</f>
        <v>2170730931</v>
      </c>
      <c r="F1553" s="3" t="s">
        <v>17</v>
      </c>
      <c r="G1553" s="3" t="s">
        <v>18</v>
      </c>
      <c r="H1553" s="3" t="s">
        <v>46</v>
      </c>
      <c r="I1553" s="3" t="s">
        <v>620</v>
      </c>
      <c r="J1553" s="3" t="s">
        <v>621</v>
      </c>
      <c r="K1553" s="3" t="s">
        <v>1228</v>
      </c>
      <c r="L1553" s="4">
        <v>0.64444444444444449</v>
      </c>
      <c r="M1553" s="3" t="s">
        <v>623</v>
      </c>
      <c r="N1553" s="3" t="s">
        <v>24</v>
      </c>
      <c r="O1553" s="3" t="s">
        <v>25</v>
      </c>
    </row>
    <row r="1554" spans="1:15">
      <c r="A1554" s="3" t="s">
        <v>15</v>
      </c>
      <c r="B1554" s="3" t="str">
        <f>"FES1162741395"</f>
        <v>FES1162741395</v>
      </c>
      <c r="C1554" s="3" t="s">
        <v>1190</v>
      </c>
      <c r="D1554" s="3">
        <v>1</v>
      </c>
      <c r="E1554" s="3" t="str">
        <f>"2170731439"</f>
        <v>2170731439</v>
      </c>
      <c r="F1554" s="3" t="s">
        <v>17</v>
      </c>
      <c r="G1554" s="3" t="s">
        <v>18</v>
      </c>
      <c r="H1554" s="3" t="s">
        <v>36</v>
      </c>
      <c r="I1554" s="3" t="s">
        <v>174</v>
      </c>
      <c r="J1554" s="3" t="s">
        <v>672</v>
      </c>
      <c r="K1554" s="3" t="s">
        <v>1228</v>
      </c>
      <c r="L1554" s="4">
        <v>0.34027777777777773</v>
      </c>
      <c r="M1554" s="3" t="s">
        <v>1450</v>
      </c>
      <c r="N1554" s="3" t="s">
        <v>24</v>
      </c>
      <c r="O1554" s="3" t="s">
        <v>25</v>
      </c>
    </row>
    <row r="1555" spans="1:15">
      <c r="A1555" s="3" t="s">
        <v>15</v>
      </c>
      <c r="B1555" s="3" t="str">
        <f>"FES1162741412"</f>
        <v>FES1162741412</v>
      </c>
      <c r="C1555" s="3" t="s">
        <v>1190</v>
      </c>
      <c r="D1555" s="3">
        <v>1</v>
      </c>
      <c r="E1555" s="3" t="str">
        <f>"2170732593"</f>
        <v>2170732593</v>
      </c>
      <c r="F1555" s="3" t="s">
        <v>17</v>
      </c>
      <c r="G1555" s="3" t="s">
        <v>18</v>
      </c>
      <c r="H1555" s="3" t="s">
        <v>36</v>
      </c>
      <c r="I1555" s="3" t="s">
        <v>37</v>
      </c>
      <c r="J1555" s="3" t="s">
        <v>902</v>
      </c>
      <c r="K1555" s="3" t="s">
        <v>1228</v>
      </c>
      <c r="L1555" s="4">
        <v>0.40625</v>
      </c>
      <c r="M1555" s="3" t="s">
        <v>973</v>
      </c>
      <c r="N1555" s="3" t="s">
        <v>24</v>
      </c>
      <c r="O1555" s="3" t="s">
        <v>25</v>
      </c>
    </row>
    <row r="1556" spans="1:15">
      <c r="A1556" s="3" t="s">
        <v>15</v>
      </c>
      <c r="B1556" s="3" t="str">
        <f>"FES1162741331"</f>
        <v>FES1162741331</v>
      </c>
      <c r="C1556" s="3" t="s">
        <v>1190</v>
      </c>
      <c r="D1556" s="3">
        <v>1</v>
      </c>
      <c r="E1556" s="3" t="str">
        <f>"2170730537"</f>
        <v>2170730537</v>
      </c>
      <c r="F1556" s="3" t="s">
        <v>17</v>
      </c>
      <c r="G1556" s="3" t="s">
        <v>18</v>
      </c>
      <c r="H1556" s="3" t="s">
        <v>36</v>
      </c>
      <c r="I1556" s="3" t="s">
        <v>37</v>
      </c>
      <c r="J1556" s="3" t="s">
        <v>113</v>
      </c>
      <c r="K1556" s="3" t="s">
        <v>1228</v>
      </c>
      <c r="L1556" s="4">
        <v>0.4069444444444445</v>
      </c>
      <c r="M1556" s="3" t="s">
        <v>383</v>
      </c>
      <c r="N1556" s="3" t="s">
        <v>24</v>
      </c>
      <c r="O1556" s="3" t="s">
        <v>25</v>
      </c>
    </row>
    <row r="1557" spans="1:15">
      <c r="A1557" s="3" t="s">
        <v>15</v>
      </c>
      <c r="B1557" s="3" t="str">
        <f>"FES1162741370"</f>
        <v>FES1162741370</v>
      </c>
      <c r="C1557" s="3" t="s">
        <v>1190</v>
      </c>
      <c r="D1557" s="3">
        <v>1</v>
      </c>
      <c r="E1557" s="3" t="str">
        <f>"2170730916"</f>
        <v>2170730916</v>
      </c>
      <c r="F1557" s="3" t="s">
        <v>17</v>
      </c>
      <c r="G1557" s="3" t="s">
        <v>18</v>
      </c>
      <c r="H1557" s="3" t="s">
        <v>66</v>
      </c>
      <c r="I1557" s="3" t="s">
        <v>67</v>
      </c>
      <c r="J1557" s="3" t="s">
        <v>906</v>
      </c>
      <c r="K1557" s="3" t="s">
        <v>1228</v>
      </c>
      <c r="L1557" s="4">
        <v>0.39930555555555558</v>
      </c>
      <c r="M1557" s="3" t="s">
        <v>1451</v>
      </c>
      <c r="N1557" s="3" t="s">
        <v>24</v>
      </c>
      <c r="O1557" s="3" t="s">
        <v>25</v>
      </c>
    </row>
    <row r="1558" spans="1:15">
      <c r="A1558" s="3" t="s">
        <v>15</v>
      </c>
      <c r="B1558" s="3" t="str">
        <f>"FES1162741419"</f>
        <v>FES1162741419</v>
      </c>
      <c r="C1558" s="3" t="s">
        <v>1190</v>
      </c>
      <c r="D1558" s="3">
        <v>1</v>
      </c>
      <c r="E1558" s="3" t="str">
        <f>"2170732959"</f>
        <v>2170732959</v>
      </c>
      <c r="F1558" s="3" t="s">
        <v>17</v>
      </c>
      <c r="G1558" s="3" t="s">
        <v>18</v>
      </c>
      <c r="H1558" s="3" t="s">
        <v>886</v>
      </c>
      <c r="I1558" s="3" t="s">
        <v>887</v>
      </c>
      <c r="J1558" s="3" t="s">
        <v>888</v>
      </c>
      <c r="K1558" s="3" t="s">
        <v>1452</v>
      </c>
      <c r="L1558" s="4">
        <v>0.8027777777777777</v>
      </c>
      <c r="M1558" s="3" t="s">
        <v>888</v>
      </c>
      <c r="N1558" s="3" t="s">
        <v>24</v>
      </c>
      <c r="O1558" s="3" t="s">
        <v>25</v>
      </c>
    </row>
    <row r="1559" spans="1:15">
      <c r="A1559" s="3" t="s">
        <v>15</v>
      </c>
      <c r="B1559" s="3" t="str">
        <f>"FES1162741432"</f>
        <v>FES1162741432</v>
      </c>
      <c r="C1559" s="3" t="s">
        <v>1190</v>
      </c>
      <c r="D1559" s="3">
        <v>1</v>
      </c>
      <c r="E1559" s="3" t="str">
        <f>"2170731682"</f>
        <v>2170731682</v>
      </c>
      <c r="F1559" s="3" t="s">
        <v>17</v>
      </c>
      <c r="G1559" s="3" t="s">
        <v>18</v>
      </c>
      <c r="H1559" s="3" t="s">
        <v>19</v>
      </c>
      <c r="I1559" s="3" t="s">
        <v>51</v>
      </c>
      <c r="J1559" s="3" t="s">
        <v>89</v>
      </c>
      <c r="K1559" s="3" t="s">
        <v>1228</v>
      </c>
      <c r="L1559" s="4">
        <v>0.48055555555555557</v>
      </c>
      <c r="M1559" s="3" t="s">
        <v>1132</v>
      </c>
      <c r="N1559" s="3" t="s">
        <v>24</v>
      </c>
      <c r="O1559" s="3" t="s">
        <v>25</v>
      </c>
    </row>
    <row r="1560" spans="1:15">
      <c r="A1560" s="3" t="s">
        <v>15</v>
      </c>
      <c r="B1560" s="3" t="str">
        <f>"FES1162741433"</f>
        <v>FES1162741433</v>
      </c>
      <c r="C1560" s="3" t="s">
        <v>1190</v>
      </c>
      <c r="D1560" s="3">
        <v>1</v>
      </c>
      <c r="E1560" s="3" t="str">
        <f>"2170731722"</f>
        <v>2170731722</v>
      </c>
      <c r="F1560" s="3" t="s">
        <v>17</v>
      </c>
      <c r="G1560" s="3" t="s">
        <v>18</v>
      </c>
      <c r="H1560" s="3" t="s">
        <v>19</v>
      </c>
      <c r="I1560" s="3" t="s">
        <v>20</v>
      </c>
      <c r="J1560" s="3" t="s">
        <v>223</v>
      </c>
      <c r="K1560" s="3" t="s">
        <v>1228</v>
      </c>
      <c r="L1560" s="4">
        <v>0.41666666666666669</v>
      </c>
      <c r="M1560" s="3" t="s">
        <v>268</v>
      </c>
      <c r="N1560" s="3" t="s">
        <v>24</v>
      </c>
      <c r="O1560" s="3" t="s">
        <v>25</v>
      </c>
    </row>
    <row r="1561" spans="1:15">
      <c r="A1561" s="3" t="s">
        <v>15</v>
      </c>
      <c r="B1561" s="3" t="str">
        <f>"FES1162741349"</f>
        <v>FES1162741349</v>
      </c>
      <c r="C1561" s="3" t="s">
        <v>1190</v>
      </c>
      <c r="D1561" s="3">
        <v>1</v>
      </c>
      <c r="E1561" s="3" t="str">
        <f>"2170730715"</f>
        <v>2170730715</v>
      </c>
      <c r="F1561" s="3" t="s">
        <v>17</v>
      </c>
      <c r="G1561" s="3" t="s">
        <v>18</v>
      </c>
      <c r="H1561" s="3" t="s">
        <v>18</v>
      </c>
      <c r="I1561" s="3" t="s">
        <v>580</v>
      </c>
      <c r="J1561" s="3" t="s">
        <v>1453</v>
      </c>
      <c r="K1561" s="3" t="s">
        <v>1228</v>
      </c>
      <c r="L1561" s="4">
        <v>0.33333333333333331</v>
      </c>
      <c r="M1561" s="3" t="s">
        <v>1454</v>
      </c>
      <c r="N1561" s="3" t="s">
        <v>24</v>
      </c>
      <c r="O1561" s="3" t="s">
        <v>25</v>
      </c>
    </row>
    <row r="1562" spans="1:15">
      <c r="A1562" s="3" t="s">
        <v>15</v>
      </c>
      <c r="B1562" s="3" t="str">
        <f>"FES1162741323"</f>
        <v>FES1162741323</v>
      </c>
      <c r="C1562" s="3" t="s">
        <v>1190</v>
      </c>
      <c r="D1562" s="3">
        <v>1</v>
      </c>
      <c r="E1562" s="3" t="str">
        <f>"2170729877"</f>
        <v>2170729877</v>
      </c>
      <c r="F1562" s="3" t="s">
        <v>17</v>
      </c>
      <c r="G1562" s="3" t="s">
        <v>18</v>
      </c>
      <c r="H1562" s="3" t="s">
        <v>36</v>
      </c>
      <c r="I1562" s="3" t="s">
        <v>37</v>
      </c>
      <c r="J1562" s="3" t="s">
        <v>113</v>
      </c>
      <c r="K1562" s="3" t="s">
        <v>1228</v>
      </c>
      <c r="L1562" s="4">
        <v>0.4069444444444445</v>
      </c>
      <c r="M1562" s="3" t="s">
        <v>383</v>
      </c>
      <c r="N1562" s="3" t="s">
        <v>24</v>
      </c>
      <c r="O1562" s="3" t="s">
        <v>25</v>
      </c>
    </row>
    <row r="1563" spans="1:15">
      <c r="A1563" s="3" t="s">
        <v>15</v>
      </c>
      <c r="B1563" s="3" t="str">
        <f>"FES1162741436"</f>
        <v>FES1162741436</v>
      </c>
      <c r="C1563" s="3" t="s">
        <v>1190</v>
      </c>
      <c r="D1563" s="3">
        <v>1</v>
      </c>
      <c r="E1563" s="3" t="str">
        <f>"2170732922"</f>
        <v>2170732922</v>
      </c>
      <c r="F1563" s="3" t="s">
        <v>17</v>
      </c>
      <c r="G1563" s="3" t="s">
        <v>18</v>
      </c>
      <c r="H1563" s="3" t="s">
        <v>19</v>
      </c>
      <c r="I1563" s="3" t="s">
        <v>20</v>
      </c>
      <c r="J1563" s="3" t="s">
        <v>56</v>
      </c>
      <c r="K1563" s="3" t="s">
        <v>1228</v>
      </c>
      <c r="L1563" s="4">
        <v>0.42222222222222222</v>
      </c>
      <c r="M1563" s="3" t="s">
        <v>57</v>
      </c>
      <c r="N1563" s="3" t="s">
        <v>24</v>
      </c>
      <c r="O1563" s="3" t="s">
        <v>25</v>
      </c>
    </row>
    <row r="1564" spans="1:15">
      <c r="A1564" s="3" t="s">
        <v>15</v>
      </c>
      <c r="B1564" s="3" t="str">
        <f>"FES1162741386"</f>
        <v>FES1162741386</v>
      </c>
      <c r="C1564" s="3" t="s">
        <v>1190</v>
      </c>
      <c r="D1564" s="3">
        <v>1</v>
      </c>
      <c r="E1564" s="3" t="str">
        <f>"2170731059"</f>
        <v>2170731059</v>
      </c>
      <c r="F1564" s="3" t="s">
        <v>17</v>
      </c>
      <c r="G1564" s="3" t="s">
        <v>18</v>
      </c>
      <c r="H1564" s="3" t="s">
        <v>19</v>
      </c>
      <c r="I1564" s="3" t="s">
        <v>20</v>
      </c>
      <c r="J1564" s="3" t="s">
        <v>420</v>
      </c>
      <c r="K1564" s="3" t="s">
        <v>1228</v>
      </c>
      <c r="L1564" s="4">
        <v>0.4145833333333333</v>
      </c>
      <c r="M1564" s="3" t="s">
        <v>1188</v>
      </c>
      <c r="N1564" s="3" t="s">
        <v>24</v>
      </c>
      <c r="O1564" s="3" t="s">
        <v>25</v>
      </c>
    </row>
    <row r="1565" spans="1:15">
      <c r="A1565" s="3" t="s">
        <v>15</v>
      </c>
      <c r="B1565" s="3" t="str">
        <f>"FES1162741461"</f>
        <v>FES1162741461</v>
      </c>
      <c r="C1565" s="3" t="s">
        <v>1190</v>
      </c>
      <c r="D1565" s="3">
        <v>1</v>
      </c>
      <c r="E1565" s="3" t="str">
        <f>"2170733005"</f>
        <v>2170733005</v>
      </c>
      <c r="F1565" s="3" t="s">
        <v>17</v>
      </c>
      <c r="G1565" s="3" t="s">
        <v>18</v>
      </c>
      <c r="H1565" s="3" t="s">
        <v>46</v>
      </c>
      <c r="I1565" s="3" t="s">
        <v>47</v>
      </c>
      <c r="J1565" s="3" t="s">
        <v>1455</v>
      </c>
      <c r="K1565" s="3" t="s">
        <v>1228</v>
      </c>
      <c r="L1565" s="4">
        <v>0.43402777777777773</v>
      </c>
      <c r="M1565" s="3" t="s">
        <v>1456</v>
      </c>
      <c r="N1565" s="3" t="s">
        <v>24</v>
      </c>
      <c r="O1565" s="3" t="s">
        <v>25</v>
      </c>
    </row>
    <row r="1566" spans="1:15">
      <c r="A1566" s="3" t="s">
        <v>15</v>
      </c>
      <c r="B1566" s="3" t="str">
        <f>"FES1162741400"</f>
        <v>FES1162741400</v>
      </c>
      <c r="C1566" s="3" t="s">
        <v>1190</v>
      </c>
      <c r="D1566" s="3">
        <v>1</v>
      </c>
      <c r="E1566" s="3" t="str">
        <f>"2170731682"</f>
        <v>2170731682</v>
      </c>
      <c r="F1566" s="3" t="s">
        <v>17</v>
      </c>
      <c r="G1566" s="3" t="s">
        <v>18</v>
      </c>
      <c r="H1566" s="3" t="s">
        <v>19</v>
      </c>
      <c r="I1566" s="3" t="s">
        <v>51</v>
      </c>
      <c r="J1566" s="3" t="s">
        <v>89</v>
      </c>
      <c r="K1566" s="3" t="s">
        <v>1228</v>
      </c>
      <c r="L1566" s="4">
        <v>0.47986111111111113</v>
      </c>
      <c r="M1566" s="3" t="s">
        <v>1132</v>
      </c>
      <c r="N1566" s="3" t="s">
        <v>24</v>
      </c>
      <c r="O1566" s="3" t="s">
        <v>25</v>
      </c>
    </row>
    <row r="1567" spans="1:15">
      <c r="A1567" s="5" t="s">
        <v>15</v>
      </c>
      <c r="B1567" s="5" t="str">
        <f>"FES1162741402"</f>
        <v>FES1162741402</v>
      </c>
      <c r="C1567" s="5" t="s">
        <v>1190</v>
      </c>
      <c r="D1567" s="5">
        <v>1</v>
      </c>
      <c r="E1567" s="5" t="str">
        <f>"2170731722"</f>
        <v>2170731722</v>
      </c>
      <c r="F1567" s="5" t="s">
        <v>17</v>
      </c>
      <c r="G1567" s="5" t="s">
        <v>18</v>
      </c>
      <c r="H1567" s="5" t="s">
        <v>19</v>
      </c>
      <c r="I1567" s="5" t="s">
        <v>20</v>
      </c>
      <c r="J1567" s="5" t="s">
        <v>223</v>
      </c>
      <c r="K1567" s="5" t="s">
        <v>1228</v>
      </c>
      <c r="L1567" s="6">
        <v>0.3125</v>
      </c>
      <c r="M1567" s="5" t="s">
        <v>1457</v>
      </c>
      <c r="N1567" s="5" t="s">
        <v>24</v>
      </c>
      <c r="O1567" s="5" t="s">
        <v>25</v>
      </c>
    </row>
    <row r="1568" spans="1:15">
      <c r="A1568" s="5" t="s">
        <v>15</v>
      </c>
      <c r="B1568" s="5" t="str">
        <f>"FES1162741364"</f>
        <v>FES1162741364</v>
      </c>
      <c r="C1568" s="5" t="s">
        <v>1190</v>
      </c>
      <c r="D1568" s="5">
        <v>1</v>
      </c>
      <c r="E1568" s="5" t="str">
        <f>"2170730840"</f>
        <v>2170730840</v>
      </c>
      <c r="F1568" s="5" t="s">
        <v>17</v>
      </c>
      <c r="G1568" s="5" t="s">
        <v>18</v>
      </c>
      <c r="H1568" s="5" t="s">
        <v>19</v>
      </c>
      <c r="I1568" s="5" t="s">
        <v>51</v>
      </c>
      <c r="J1568" s="5" t="s">
        <v>429</v>
      </c>
      <c r="K1568" s="5" t="s">
        <v>1228</v>
      </c>
      <c r="L1568" s="6">
        <v>0.42083333333333334</v>
      </c>
      <c r="M1568" s="5" t="s">
        <v>982</v>
      </c>
      <c r="N1568" s="5" t="s">
        <v>24</v>
      </c>
      <c r="O1568" s="5" t="s">
        <v>25</v>
      </c>
    </row>
    <row r="1569" spans="1:15">
      <c r="A1569" s="5" t="s">
        <v>15</v>
      </c>
      <c r="B1569" s="5" t="str">
        <f>"FES1162741381"</f>
        <v>FES1162741381</v>
      </c>
      <c r="C1569" s="5" t="s">
        <v>1190</v>
      </c>
      <c r="D1569" s="5">
        <v>1</v>
      </c>
      <c r="E1569" s="5" t="str">
        <f>"2170730983"</f>
        <v>2170730983</v>
      </c>
      <c r="F1569" s="5" t="s">
        <v>17</v>
      </c>
      <c r="G1569" s="5" t="s">
        <v>18</v>
      </c>
      <c r="H1569" s="5" t="s">
        <v>19</v>
      </c>
      <c r="I1569" s="5" t="s">
        <v>86</v>
      </c>
      <c r="J1569" s="5" t="s">
        <v>273</v>
      </c>
      <c r="K1569" s="5" t="s">
        <v>1228</v>
      </c>
      <c r="L1569" s="6">
        <v>0.56874999999999998</v>
      </c>
      <c r="M1569" s="5" t="s">
        <v>1172</v>
      </c>
      <c r="N1569" s="5" t="s">
        <v>24</v>
      </c>
      <c r="O1569" s="5" t="s">
        <v>25</v>
      </c>
    </row>
    <row r="1570" spans="1:15">
      <c r="A1570" s="5" t="s">
        <v>15</v>
      </c>
      <c r="B1570" s="5" t="str">
        <f>"FES1162741318"</f>
        <v>FES1162741318</v>
      </c>
      <c r="C1570" s="5" t="s">
        <v>1190</v>
      </c>
      <c r="D1570" s="5">
        <v>1</v>
      </c>
      <c r="E1570" s="5" t="str">
        <f>"2170729245"</f>
        <v>2170729245</v>
      </c>
      <c r="F1570" s="5" t="s">
        <v>17</v>
      </c>
      <c r="G1570" s="5" t="s">
        <v>18</v>
      </c>
      <c r="H1570" s="5" t="s">
        <v>19</v>
      </c>
      <c r="I1570" s="5" t="s">
        <v>20</v>
      </c>
      <c r="J1570" s="5" t="s">
        <v>951</v>
      </c>
      <c r="K1570" s="5" t="s">
        <v>1228</v>
      </c>
      <c r="L1570" s="6">
        <v>0.31875000000000003</v>
      </c>
      <c r="M1570" s="5" t="s">
        <v>1458</v>
      </c>
      <c r="N1570" s="5" t="s">
        <v>24</v>
      </c>
      <c r="O1570" s="5" t="s">
        <v>25</v>
      </c>
    </row>
    <row r="1571" spans="1:15">
      <c r="A1571" s="5" t="s">
        <v>15</v>
      </c>
      <c r="B1571" s="5" t="str">
        <f>"FES1162741498"</f>
        <v>FES1162741498</v>
      </c>
      <c r="C1571" s="5" t="s">
        <v>1190</v>
      </c>
      <c r="D1571" s="5">
        <v>1</v>
      </c>
      <c r="E1571" s="5" t="str">
        <f>"2170733048"</f>
        <v>2170733048</v>
      </c>
      <c r="F1571" s="5" t="s">
        <v>17</v>
      </c>
      <c r="G1571" s="5" t="s">
        <v>18</v>
      </c>
      <c r="H1571" s="5" t="s">
        <v>19</v>
      </c>
      <c r="I1571" s="5" t="s">
        <v>51</v>
      </c>
      <c r="J1571" s="5" t="s">
        <v>98</v>
      </c>
      <c r="K1571" s="5" t="s">
        <v>1228</v>
      </c>
      <c r="L1571" s="6">
        <v>0.42152777777777778</v>
      </c>
      <c r="M1571" s="5" t="s">
        <v>99</v>
      </c>
      <c r="N1571" s="5" t="s">
        <v>24</v>
      </c>
      <c r="O1571" s="5" t="s">
        <v>25</v>
      </c>
    </row>
    <row r="1572" spans="1:15">
      <c r="A1572" s="5" t="s">
        <v>15</v>
      </c>
      <c r="B1572" s="5" t="str">
        <f>"FES1162741339"</f>
        <v>FES1162741339</v>
      </c>
      <c r="C1572" s="5" t="s">
        <v>1190</v>
      </c>
      <c r="D1572" s="5">
        <v>1</v>
      </c>
      <c r="E1572" s="5" t="str">
        <f>"2170730615"</f>
        <v>2170730615</v>
      </c>
      <c r="F1572" s="5" t="s">
        <v>17</v>
      </c>
      <c r="G1572" s="5" t="s">
        <v>18</v>
      </c>
      <c r="H1572" s="5" t="s">
        <v>18</v>
      </c>
      <c r="I1572" s="5" t="s">
        <v>29</v>
      </c>
      <c r="J1572" s="5" t="s">
        <v>493</v>
      </c>
      <c r="K1572" s="5" t="s">
        <v>1228</v>
      </c>
      <c r="L1572" s="6">
        <v>0.2986111111111111</v>
      </c>
      <c r="M1572" s="5" t="s">
        <v>494</v>
      </c>
      <c r="N1572" s="5" t="s">
        <v>24</v>
      </c>
      <c r="O1572" s="5" t="s">
        <v>25</v>
      </c>
    </row>
    <row r="1573" spans="1:15">
      <c r="A1573" s="5" t="s">
        <v>15</v>
      </c>
      <c r="B1573" s="5" t="str">
        <f>"FES1162741442"</f>
        <v>FES1162741442</v>
      </c>
      <c r="C1573" s="5" t="s">
        <v>1190</v>
      </c>
      <c r="D1573" s="5">
        <v>1</v>
      </c>
      <c r="E1573" s="5" t="str">
        <f>"2170732979"</f>
        <v>2170732979</v>
      </c>
      <c r="F1573" s="5" t="s">
        <v>17</v>
      </c>
      <c r="G1573" s="5" t="s">
        <v>18</v>
      </c>
      <c r="H1573" s="5" t="s">
        <v>18</v>
      </c>
      <c r="I1573" s="5" t="s">
        <v>171</v>
      </c>
      <c r="J1573" s="5" t="s">
        <v>1459</v>
      </c>
      <c r="K1573" s="5" t="s">
        <v>1228</v>
      </c>
      <c r="L1573" s="6">
        <v>0.3298611111111111</v>
      </c>
      <c r="M1573" s="5" t="s">
        <v>1343</v>
      </c>
      <c r="N1573" s="5" t="s">
        <v>24</v>
      </c>
      <c r="O1573" s="5" t="s">
        <v>25</v>
      </c>
    </row>
    <row r="1574" spans="1:15">
      <c r="A1574" s="5" t="s">
        <v>15</v>
      </c>
      <c r="B1574" s="5" t="str">
        <f>"FES1162741383"</f>
        <v>FES1162741383</v>
      </c>
      <c r="C1574" s="5" t="s">
        <v>1190</v>
      </c>
      <c r="D1574" s="5">
        <v>1</v>
      </c>
      <c r="E1574" s="5" t="str">
        <f>"2170731015"</f>
        <v>2170731015</v>
      </c>
      <c r="F1574" s="5" t="s">
        <v>17</v>
      </c>
      <c r="G1574" s="5" t="s">
        <v>18</v>
      </c>
      <c r="H1574" s="5" t="s">
        <v>18</v>
      </c>
      <c r="I1574" s="5" t="s">
        <v>180</v>
      </c>
      <c r="J1574" s="5" t="s">
        <v>405</v>
      </c>
      <c r="K1574" s="5" t="s">
        <v>1228</v>
      </c>
      <c r="L1574" s="6">
        <v>0.40277777777777773</v>
      </c>
      <c r="M1574" s="5" t="s">
        <v>1460</v>
      </c>
      <c r="N1574" s="5" t="s">
        <v>24</v>
      </c>
      <c r="O1574" s="5" t="s">
        <v>25</v>
      </c>
    </row>
    <row r="1575" spans="1:15">
      <c r="A1575" s="5" t="s">
        <v>15</v>
      </c>
      <c r="B1575" s="5" t="str">
        <f>"FES1162741447"</f>
        <v>FES1162741447</v>
      </c>
      <c r="C1575" s="5" t="s">
        <v>1190</v>
      </c>
      <c r="D1575" s="5">
        <v>1</v>
      </c>
      <c r="E1575" s="5" t="str">
        <f>"2170732751"</f>
        <v>2170732751</v>
      </c>
      <c r="F1575" s="5" t="s">
        <v>17</v>
      </c>
      <c r="G1575" s="5" t="s">
        <v>18</v>
      </c>
      <c r="H1575" s="5" t="s">
        <v>18</v>
      </c>
      <c r="I1575" s="5" t="s">
        <v>206</v>
      </c>
      <c r="J1575" s="5" t="s">
        <v>399</v>
      </c>
      <c r="K1575" s="5" t="s">
        <v>1228</v>
      </c>
      <c r="L1575" s="6">
        <v>0.40277777777777773</v>
      </c>
      <c r="M1575" s="5" t="s">
        <v>1461</v>
      </c>
      <c r="N1575" s="5" t="s">
        <v>24</v>
      </c>
      <c r="O1575" s="5" t="s">
        <v>1340</v>
      </c>
    </row>
    <row r="1576" spans="1:15">
      <c r="A1576" s="5" t="s">
        <v>15</v>
      </c>
      <c r="B1576" s="5" t="str">
        <f>"FES1162741463"</f>
        <v>FES1162741463</v>
      </c>
      <c r="C1576" s="5" t="s">
        <v>1190</v>
      </c>
      <c r="D1576" s="5">
        <v>1</v>
      </c>
      <c r="E1576" s="5" t="str">
        <f>"2170733006"</f>
        <v>2170733006</v>
      </c>
      <c r="F1576" s="5" t="s">
        <v>17</v>
      </c>
      <c r="G1576" s="5" t="s">
        <v>18</v>
      </c>
      <c r="H1576" s="5" t="s">
        <v>100</v>
      </c>
      <c r="I1576" s="5" t="s">
        <v>101</v>
      </c>
      <c r="J1576" s="5" t="s">
        <v>655</v>
      </c>
      <c r="K1576" s="5" t="s">
        <v>1228</v>
      </c>
      <c r="L1576" s="6">
        <v>0.37083333333333335</v>
      </c>
      <c r="M1576" s="5" t="s">
        <v>1462</v>
      </c>
      <c r="N1576" s="5" t="s">
        <v>24</v>
      </c>
      <c r="O1576" s="5" t="s">
        <v>25</v>
      </c>
    </row>
    <row r="1577" spans="1:15">
      <c r="A1577" s="5" t="s">
        <v>15</v>
      </c>
      <c r="B1577" s="5" t="str">
        <f>"FES1162741340"</f>
        <v>FES1162741340</v>
      </c>
      <c r="C1577" s="5" t="s">
        <v>1190</v>
      </c>
      <c r="D1577" s="5">
        <v>1</v>
      </c>
      <c r="E1577" s="5" t="str">
        <f>"2170730616"</f>
        <v>2170730616</v>
      </c>
      <c r="F1577" s="5" t="s">
        <v>17</v>
      </c>
      <c r="G1577" s="5" t="s">
        <v>18</v>
      </c>
      <c r="H1577" s="5" t="s">
        <v>19</v>
      </c>
      <c r="I1577" s="5" t="s">
        <v>51</v>
      </c>
      <c r="J1577" s="5" t="s">
        <v>1463</v>
      </c>
      <c r="K1577" s="5" t="s">
        <v>1228</v>
      </c>
      <c r="L1577" s="6">
        <v>0.42083333333333334</v>
      </c>
      <c r="M1577" s="5" t="s">
        <v>1464</v>
      </c>
      <c r="N1577" s="5" t="s">
        <v>24</v>
      </c>
      <c r="O1577" s="5" t="s">
        <v>25</v>
      </c>
    </row>
    <row r="1578" spans="1:15">
      <c r="A1578" s="5" t="s">
        <v>15</v>
      </c>
      <c r="B1578" s="5" t="str">
        <f>"FES1162741459"</f>
        <v>FES1162741459</v>
      </c>
      <c r="C1578" s="5" t="s">
        <v>1190</v>
      </c>
      <c r="D1578" s="5">
        <v>1</v>
      </c>
      <c r="E1578" s="5" t="str">
        <f>"2170733000"</f>
        <v>2170733000</v>
      </c>
      <c r="F1578" s="5" t="s">
        <v>17</v>
      </c>
      <c r="G1578" s="5" t="s">
        <v>18</v>
      </c>
      <c r="H1578" s="5" t="s">
        <v>100</v>
      </c>
      <c r="I1578" s="5" t="s">
        <v>101</v>
      </c>
      <c r="J1578" s="5" t="s">
        <v>127</v>
      </c>
      <c r="K1578" s="5" t="s">
        <v>1228</v>
      </c>
      <c r="L1578" s="6">
        <v>0.54791666666666672</v>
      </c>
      <c r="M1578" s="5" t="s">
        <v>1465</v>
      </c>
      <c r="N1578" s="5" t="s">
        <v>24</v>
      </c>
      <c r="O1578" s="5" t="s">
        <v>25</v>
      </c>
    </row>
    <row r="1579" spans="1:15">
      <c r="A1579" s="5" t="s">
        <v>15</v>
      </c>
      <c r="B1579" s="5" t="str">
        <f>"FES1162741478"</f>
        <v>FES1162741478</v>
      </c>
      <c r="C1579" s="5" t="s">
        <v>1190</v>
      </c>
      <c r="D1579" s="5">
        <v>1</v>
      </c>
      <c r="E1579" s="5" t="str">
        <f>"2170733207"</f>
        <v>2170733207</v>
      </c>
      <c r="F1579" s="5" t="s">
        <v>17</v>
      </c>
      <c r="G1579" s="5" t="s">
        <v>18</v>
      </c>
      <c r="H1579" s="5" t="s">
        <v>100</v>
      </c>
      <c r="I1579" s="5" t="s">
        <v>101</v>
      </c>
      <c r="J1579" s="5" t="s">
        <v>1466</v>
      </c>
      <c r="K1579" s="5" t="s">
        <v>1228</v>
      </c>
      <c r="L1579" s="6">
        <v>0.37291666666666662</v>
      </c>
      <c r="M1579" s="5" t="s">
        <v>1467</v>
      </c>
      <c r="N1579" s="5" t="s">
        <v>24</v>
      </c>
      <c r="O1579" s="5" t="s">
        <v>25</v>
      </c>
    </row>
    <row r="1580" spans="1:15">
      <c r="A1580" s="5" t="s">
        <v>15</v>
      </c>
      <c r="B1580" s="5" t="str">
        <f>"FES1162741354"</f>
        <v>FES1162741354</v>
      </c>
      <c r="C1580" s="5" t="s">
        <v>1190</v>
      </c>
      <c r="D1580" s="5">
        <v>1</v>
      </c>
      <c r="E1580" s="5" t="str">
        <f>"2170730748"</f>
        <v>2170730748</v>
      </c>
      <c r="F1580" s="5" t="s">
        <v>17</v>
      </c>
      <c r="G1580" s="5" t="s">
        <v>18</v>
      </c>
      <c r="H1580" s="5" t="s">
        <v>18</v>
      </c>
      <c r="I1580" s="5" t="s">
        <v>29</v>
      </c>
      <c r="J1580" s="5" t="s">
        <v>493</v>
      </c>
      <c r="K1580" s="5" t="s">
        <v>1228</v>
      </c>
      <c r="L1580" s="6">
        <v>0.2986111111111111</v>
      </c>
      <c r="M1580" s="5" t="s">
        <v>494</v>
      </c>
      <c r="N1580" s="5" t="s">
        <v>24</v>
      </c>
      <c r="O1580" s="5" t="s">
        <v>25</v>
      </c>
    </row>
    <row r="1581" spans="1:15">
      <c r="A1581" s="5" t="s">
        <v>15</v>
      </c>
      <c r="B1581" s="5" t="str">
        <f>"FES1162741324"</f>
        <v>FES1162741324</v>
      </c>
      <c r="C1581" s="5" t="s">
        <v>1190</v>
      </c>
      <c r="D1581" s="5">
        <v>1</v>
      </c>
      <c r="E1581" s="5" t="str">
        <f>"21701729927"</f>
        <v>21701729927</v>
      </c>
      <c r="F1581" s="5" t="s">
        <v>17</v>
      </c>
      <c r="G1581" s="5" t="s">
        <v>18</v>
      </c>
      <c r="H1581" s="5" t="s">
        <v>66</v>
      </c>
      <c r="I1581" s="5" t="s">
        <v>158</v>
      </c>
      <c r="J1581" s="5" t="s">
        <v>159</v>
      </c>
      <c r="K1581" s="5" t="s">
        <v>447</v>
      </c>
      <c r="L1581" s="5"/>
      <c r="M1581" s="5" t="s">
        <v>448</v>
      </c>
      <c r="N1581" s="5" t="s">
        <v>1468</v>
      </c>
      <c r="O1581" s="5" t="s">
        <v>25</v>
      </c>
    </row>
    <row r="1582" spans="1:15">
      <c r="A1582" s="5" t="s">
        <v>15</v>
      </c>
      <c r="B1582" s="5" t="str">
        <f>"FES1162741418"</f>
        <v>FES1162741418</v>
      </c>
      <c r="C1582" s="5" t="s">
        <v>1190</v>
      </c>
      <c r="D1582" s="5">
        <v>1</v>
      </c>
      <c r="E1582" s="5" t="str">
        <f>"2170732958"</f>
        <v>2170732958</v>
      </c>
      <c r="F1582" s="5" t="s">
        <v>17</v>
      </c>
      <c r="G1582" s="5" t="s">
        <v>18</v>
      </c>
      <c r="H1582" s="5" t="s">
        <v>66</v>
      </c>
      <c r="I1582" s="5" t="s">
        <v>67</v>
      </c>
      <c r="J1582" s="5" t="s">
        <v>1469</v>
      </c>
      <c r="K1582" s="5" t="s">
        <v>1228</v>
      </c>
      <c r="L1582" s="6">
        <v>0.33333333333333331</v>
      </c>
      <c r="M1582" s="5" t="s">
        <v>1470</v>
      </c>
      <c r="N1582" s="3" t="s">
        <v>24</v>
      </c>
      <c r="O1582" s="5" t="s">
        <v>25</v>
      </c>
    </row>
    <row r="1583" spans="1:15">
      <c r="A1583" s="5" t="s">
        <v>15</v>
      </c>
      <c r="B1583" s="5" t="str">
        <f>"FES1162741497"</f>
        <v>FES1162741497</v>
      </c>
      <c r="C1583" s="5" t="s">
        <v>1190</v>
      </c>
      <c r="D1583" s="5">
        <v>1</v>
      </c>
      <c r="E1583" s="5" t="str">
        <f>"2170733047"</f>
        <v>2170733047</v>
      </c>
      <c r="F1583" s="5" t="s">
        <v>17</v>
      </c>
      <c r="G1583" s="5" t="s">
        <v>18</v>
      </c>
      <c r="H1583" s="5" t="s">
        <v>537</v>
      </c>
      <c r="I1583" s="5" t="s">
        <v>538</v>
      </c>
      <c r="J1583" s="5" t="s">
        <v>1106</v>
      </c>
      <c r="K1583" s="5" t="s">
        <v>1228</v>
      </c>
      <c r="L1583" s="6">
        <v>0.43333333333333335</v>
      </c>
      <c r="M1583" s="5" t="s">
        <v>1107</v>
      </c>
      <c r="N1583" s="3" t="s">
        <v>24</v>
      </c>
      <c r="O1583" s="5" t="s">
        <v>25</v>
      </c>
    </row>
    <row r="1584" spans="1:15">
      <c r="A1584" s="5" t="s">
        <v>15</v>
      </c>
      <c r="B1584" s="5" t="str">
        <f>"FES1162741377"</f>
        <v>FES1162741377</v>
      </c>
      <c r="C1584" s="5" t="s">
        <v>1190</v>
      </c>
      <c r="D1584" s="5">
        <v>1</v>
      </c>
      <c r="E1584" s="5" t="str">
        <f>"2170730962"</f>
        <v>2170730962</v>
      </c>
      <c r="F1584" s="5" t="s">
        <v>17</v>
      </c>
      <c r="G1584" s="5" t="s">
        <v>18</v>
      </c>
      <c r="H1584" s="5" t="s">
        <v>18</v>
      </c>
      <c r="I1584" s="5" t="s">
        <v>29</v>
      </c>
      <c r="J1584" s="5" t="s">
        <v>1316</v>
      </c>
      <c r="K1584" s="5" t="s">
        <v>1228</v>
      </c>
      <c r="L1584" s="6">
        <v>0.4375</v>
      </c>
      <c r="M1584" s="5" t="s">
        <v>1471</v>
      </c>
      <c r="N1584" s="3" t="s">
        <v>24</v>
      </c>
      <c r="O1584" s="5" t="s">
        <v>25</v>
      </c>
    </row>
    <row r="1585" spans="1:15">
      <c r="A1585" s="3" t="s">
        <v>15</v>
      </c>
      <c r="B1585" s="3" t="str">
        <f>"FES1162741496"</f>
        <v>FES1162741496</v>
      </c>
      <c r="C1585" s="3" t="s">
        <v>1190</v>
      </c>
      <c r="D1585" s="3">
        <v>1</v>
      </c>
      <c r="E1585" s="3" t="str">
        <f>"2170733045"</f>
        <v>2170733045</v>
      </c>
      <c r="F1585" s="3" t="s">
        <v>17</v>
      </c>
      <c r="G1585" s="3" t="s">
        <v>18</v>
      </c>
      <c r="H1585" s="3" t="s">
        <v>100</v>
      </c>
      <c r="I1585" s="3" t="s">
        <v>262</v>
      </c>
      <c r="J1585" s="3" t="s">
        <v>263</v>
      </c>
      <c r="K1585" s="3" t="s">
        <v>1228</v>
      </c>
      <c r="L1585" s="4">
        <v>0.4375</v>
      </c>
      <c r="M1585" s="3" t="s">
        <v>1332</v>
      </c>
      <c r="N1585" s="3" t="s">
        <v>24</v>
      </c>
      <c r="O1585" s="3" t="s">
        <v>25</v>
      </c>
    </row>
    <row r="1586" spans="1:15">
      <c r="A1586" s="3" t="s">
        <v>15</v>
      </c>
      <c r="B1586" s="3" t="str">
        <f>"FES1162741493"</f>
        <v>FES1162741493</v>
      </c>
      <c r="C1586" s="3" t="s">
        <v>1190</v>
      </c>
      <c r="D1586" s="3">
        <v>1</v>
      </c>
      <c r="E1586" s="3" t="str">
        <f>"2170733042"</f>
        <v>2170733042</v>
      </c>
      <c r="F1586" s="3" t="s">
        <v>17</v>
      </c>
      <c r="G1586" s="3" t="s">
        <v>18</v>
      </c>
      <c r="H1586" s="3" t="s">
        <v>100</v>
      </c>
      <c r="I1586" s="3" t="s">
        <v>101</v>
      </c>
      <c r="J1586" s="3" t="s">
        <v>653</v>
      </c>
      <c r="K1586" s="3" t="s">
        <v>1228</v>
      </c>
      <c r="L1586" s="4">
        <v>0.4375</v>
      </c>
      <c r="M1586" s="3" t="s">
        <v>1472</v>
      </c>
      <c r="N1586" s="3" t="s">
        <v>24</v>
      </c>
      <c r="O1586" s="3" t="s">
        <v>25</v>
      </c>
    </row>
    <row r="1587" spans="1:15">
      <c r="A1587" s="3" t="s">
        <v>15</v>
      </c>
      <c r="B1587" s="3" t="str">
        <f>"FES1162741446"</f>
        <v>FES1162741446</v>
      </c>
      <c r="C1587" s="3" t="s">
        <v>1190</v>
      </c>
      <c r="D1587" s="3">
        <v>1</v>
      </c>
      <c r="E1587" s="3" t="str">
        <f>"2170732723"</f>
        <v>2170732723</v>
      </c>
      <c r="F1587" s="3" t="s">
        <v>17</v>
      </c>
      <c r="G1587" s="3" t="s">
        <v>18</v>
      </c>
      <c r="H1587" s="3" t="s">
        <v>18</v>
      </c>
      <c r="I1587" s="3" t="s">
        <v>29</v>
      </c>
      <c r="J1587" s="3" t="s">
        <v>270</v>
      </c>
      <c r="K1587" s="3" t="s">
        <v>1228</v>
      </c>
      <c r="L1587" s="4">
        <v>0.33333333333333331</v>
      </c>
      <c r="M1587" s="3" t="s">
        <v>326</v>
      </c>
      <c r="N1587" s="3" t="s">
        <v>24</v>
      </c>
      <c r="O1587" s="3" t="s">
        <v>25</v>
      </c>
    </row>
    <row r="1588" spans="1:15">
      <c r="A1588" s="3" t="s">
        <v>15</v>
      </c>
      <c r="B1588" s="3" t="str">
        <f>"FES1162741337"</f>
        <v>FES1162741337</v>
      </c>
      <c r="C1588" s="3" t="s">
        <v>1190</v>
      </c>
      <c r="D1588" s="3">
        <v>1</v>
      </c>
      <c r="E1588" s="3" t="str">
        <f>"2170730598"</f>
        <v>2170730598</v>
      </c>
      <c r="F1588" s="3" t="s">
        <v>17</v>
      </c>
      <c r="G1588" s="3" t="s">
        <v>18</v>
      </c>
      <c r="H1588" s="3" t="s">
        <v>18</v>
      </c>
      <c r="I1588" s="3" t="s">
        <v>313</v>
      </c>
      <c r="J1588" s="3" t="s">
        <v>572</v>
      </c>
      <c r="K1588" s="3" t="s">
        <v>1228</v>
      </c>
      <c r="L1588" s="4">
        <v>0.43402777777777773</v>
      </c>
      <c r="M1588" s="3" t="s">
        <v>1334</v>
      </c>
      <c r="N1588" s="3" t="s">
        <v>24</v>
      </c>
      <c r="O1588" s="3" t="s">
        <v>25</v>
      </c>
    </row>
    <row r="1589" spans="1:15">
      <c r="A1589" s="3" t="s">
        <v>15</v>
      </c>
      <c r="B1589" s="3" t="str">
        <f>"FES1162741445"</f>
        <v>FES1162741445</v>
      </c>
      <c r="C1589" s="3" t="s">
        <v>1190</v>
      </c>
      <c r="D1589" s="3">
        <v>1</v>
      </c>
      <c r="E1589" s="3" t="str">
        <f>"2170732984"</f>
        <v>2170732984</v>
      </c>
      <c r="F1589" s="3" t="s">
        <v>17</v>
      </c>
      <c r="G1589" s="3" t="s">
        <v>18</v>
      </c>
      <c r="H1589" s="3" t="s">
        <v>18</v>
      </c>
      <c r="I1589" s="3" t="s">
        <v>580</v>
      </c>
      <c r="J1589" s="3" t="s">
        <v>1453</v>
      </c>
      <c r="K1589" s="3" t="s">
        <v>1228</v>
      </c>
      <c r="L1589" s="4">
        <v>0.33333333333333331</v>
      </c>
      <c r="M1589" s="3" t="s">
        <v>1454</v>
      </c>
      <c r="N1589" s="3" t="s">
        <v>24</v>
      </c>
      <c r="O1589" s="3" t="s">
        <v>25</v>
      </c>
    </row>
    <row r="1590" spans="1:15">
      <c r="A1590" s="3" t="s">
        <v>15</v>
      </c>
      <c r="B1590" s="3" t="str">
        <f>"FES1162741317"</f>
        <v>FES1162741317</v>
      </c>
      <c r="C1590" s="3" t="s">
        <v>1190</v>
      </c>
      <c r="D1590" s="3">
        <v>1</v>
      </c>
      <c r="E1590" s="3" t="str">
        <f>"2170728250"</f>
        <v>2170728250</v>
      </c>
      <c r="F1590" s="3" t="s">
        <v>17</v>
      </c>
      <c r="G1590" s="3" t="s">
        <v>18</v>
      </c>
      <c r="H1590" s="3" t="s">
        <v>18</v>
      </c>
      <c r="I1590" s="3" t="s">
        <v>151</v>
      </c>
      <c r="J1590" s="3" t="s">
        <v>407</v>
      </c>
      <c r="K1590" s="3" t="s">
        <v>1228</v>
      </c>
      <c r="L1590" s="4">
        <v>0.375</v>
      </c>
      <c r="M1590" s="3" t="s">
        <v>1250</v>
      </c>
      <c r="N1590" s="3" t="s">
        <v>24</v>
      </c>
      <c r="O1590" s="3" t="s">
        <v>25</v>
      </c>
    </row>
    <row r="1591" spans="1:15">
      <c r="A1591" s="3" t="s">
        <v>15</v>
      </c>
      <c r="B1591" s="3" t="str">
        <f>"FES1162741384"</f>
        <v>FES1162741384</v>
      </c>
      <c r="C1591" s="3" t="s">
        <v>1190</v>
      </c>
      <c r="D1591" s="3">
        <v>1</v>
      </c>
      <c r="E1591" s="3" t="str">
        <f>"2170731053"</f>
        <v>2170731053</v>
      </c>
      <c r="F1591" s="3" t="s">
        <v>17</v>
      </c>
      <c r="G1591" s="3" t="s">
        <v>18</v>
      </c>
      <c r="H1591" s="3" t="s">
        <v>18</v>
      </c>
      <c r="I1591" s="3" t="s">
        <v>453</v>
      </c>
      <c r="J1591" s="3" t="s">
        <v>454</v>
      </c>
      <c r="K1591" s="3" t="s">
        <v>1228</v>
      </c>
      <c r="L1591" s="4">
        <v>0.4375</v>
      </c>
      <c r="M1591" s="3" t="s">
        <v>488</v>
      </c>
      <c r="N1591" s="3" t="s">
        <v>24</v>
      </c>
      <c r="O1591" s="3" t="s">
        <v>25</v>
      </c>
    </row>
    <row r="1592" spans="1:15">
      <c r="A1592" s="3" t="s">
        <v>15</v>
      </c>
      <c r="B1592" s="3" t="str">
        <f>"FES11627411312"</f>
        <v>FES11627411312</v>
      </c>
      <c r="C1592" s="3" t="s">
        <v>1190</v>
      </c>
      <c r="D1592" s="3">
        <v>1</v>
      </c>
      <c r="E1592" s="3" t="str">
        <f>"2170732950"</f>
        <v>2170732950</v>
      </c>
      <c r="F1592" s="3" t="s">
        <v>17</v>
      </c>
      <c r="G1592" s="3" t="s">
        <v>18</v>
      </c>
      <c r="H1592" s="3" t="s">
        <v>18</v>
      </c>
      <c r="I1592" s="3" t="s">
        <v>29</v>
      </c>
      <c r="J1592" s="3" t="s">
        <v>568</v>
      </c>
      <c r="K1592" s="3" t="s">
        <v>1228</v>
      </c>
      <c r="L1592" s="4">
        <v>0.34236111111111112</v>
      </c>
      <c r="M1592" s="3" t="s">
        <v>1200</v>
      </c>
      <c r="N1592" s="3" t="s">
        <v>24</v>
      </c>
      <c r="O1592" s="3" t="s">
        <v>25</v>
      </c>
    </row>
    <row r="1593" spans="1:15">
      <c r="A1593" s="3" t="s">
        <v>15</v>
      </c>
      <c r="B1593" s="3" t="str">
        <f>"FES1162741431"</f>
        <v>FES1162741431</v>
      </c>
      <c r="C1593" s="3" t="s">
        <v>1190</v>
      </c>
      <c r="D1593" s="3">
        <v>1</v>
      </c>
      <c r="E1593" s="3" t="str">
        <f>"2170731340"</f>
        <v>2170731340</v>
      </c>
      <c r="F1593" s="3" t="s">
        <v>17</v>
      </c>
      <c r="G1593" s="3" t="s">
        <v>18</v>
      </c>
      <c r="H1593" s="3" t="s">
        <v>18</v>
      </c>
      <c r="I1593" s="3" t="s">
        <v>171</v>
      </c>
      <c r="J1593" s="3" t="s">
        <v>194</v>
      </c>
      <c r="K1593" s="3" t="s">
        <v>1228</v>
      </c>
      <c r="L1593" s="4">
        <v>0.54999999999999993</v>
      </c>
      <c r="M1593" s="3" t="s">
        <v>28</v>
      </c>
      <c r="N1593" s="3" t="s">
        <v>24</v>
      </c>
      <c r="O1593" s="3" t="s">
        <v>25</v>
      </c>
    </row>
    <row r="1594" spans="1:15">
      <c r="A1594" s="3" t="s">
        <v>15</v>
      </c>
      <c r="B1594" s="3" t="str">
        <f>"FES1162741361"</f>
        <v>FES1162741361</v>
      </c>
      <c r="C1594" s="3" t="s">
        <v>1190</v>
      </c>
      <c r="D1594" s="3">
        <v>1</v>
      </c>
      <c r="E1594" s="3" t="str">
        <f>"2170730816"</f>
        <v>2170730816</v>
      </c>
      <c r="F1594" s="3" t="s">
        <v>17</v>
      </c>
      <c r="G1594" s="3" t="s">
        <v>18</v>
      </c>
      <c r="H1594" s="3" t="s">
        <v>66</v>
      </c>
      <c r="I1594" s="3" t="s">
        <v>67</v>
      </c>
      <c r="J1594" s="3" t="s">
        <v>543</v>
      </c>
      <c r="K1594" s="3" t="s">
        <v>1228</v>
      </c>
      <c r="L1594" s="4">
        <v>0.3888888888888889</v>
      </c>
      <c r="M1594" s="3" t="s">
        <v>1473</v>
      </c>
      <c r="N1594" s="3" t="s">
        <v>24</v>
      </c>
      <c r="O1594" s="3" t="s">
        <v>25</v>
      </c>
    </row>
    <row r="1595" spans="1:15">
      <c r="A1595" s="3" t="s">
        <v>15</v>
      </c>
      <c r="B1595" s="3" t="str">
        <f>"FES1162741329"</f>
        <v>FES1162741329</v>
      </c>
      <c r="C1595" s="3" t="s">
        <v>1190</v>
      </c>
      <c r="D1595" s="3">
        <v>1</v>
      </c>
      <c r="E1595" s="3" t="str">
        <f>"2170730341"</f>
        <v>2170730341</v>
      </c>
      <c r="F1595" s="3" t="s">
        <v>17</v>
      </c>
      <c r="G1595" s="3" t="s">
        <v>18</v>
      </c>
      <c r="H1595" s="3" t="s">
        <v>40</v>
      </c>
      <c r="I1595" s="3" t="s">
        <v>41</v>
      </c>
      <c r="J1595" s="3" t="s">
        <v>1338</v>
      </c>
      <c r="K1595" s="3" t="s">
        <v>1228</v>
      </c>
      <c r="L1595" s="4">
        <v>0.40972222222222227</v>
      </c>
      <c r="M1595" s="3" t="s">
        <v>1187</v>
      </c>
      <c r="N1595" s="3" t="s">
        <v>24</v>
      </c>
      <c r="O1595" s="3" t="s">
        <v>25</v>
      </c>
    </row>
    <row r="1596" spans="1:15">
      <c r="A1596" s="3" t="s">
        <v>15</v>
      </c>
      <c r="B1596" s="3" t="str">
        <f>"FES1162741413"</f>
        <v>FES1162741413</v>
      </c>
      <c r="C1596" s="3" t="s">
        <v>1190</v>
      </c>
      <c r="D1596" s="3">
        <v>1</v>
      </c>
      <c r="E1596" s="3" t="str">
        <f>"2170732618"</f>
        <v>2170732618</v>
      </c>
      <c r="F1596" s="3" t="s">
        <v>17</v>
      </c>
      <c r="G1596" s="3" t="s">
        <v>18</v>
      </c>
      <c r="H1596" s="3" t="s">
        <v>18</v>
      </c>
      <c r="I1596" s="3" t="s">
        <v>453</v>
      </c>
      <c r="J1596" s="3" t="s">
        <v>658</v>
      </c>
      <c r="K1596" s="3" t="s">
        <v>1228</v>
      </c>
      <c r="L1596" s="4">
        <v>0.4375</v>
      </c>
      <c r="M1596" s="3" t="s">
        <v>488</v>
      </c>
      <c r="N1596" s="3" t="s">
        <v>24</v>
      </c>
      <c r="O1596" s="3" t="s">
        <v>25</v>
      </c>
    </row>
    <row r="1597" spans="1:15">
      <c r="A1597" s="3" t="s">
        <v>15</v>
      </c>
      <c r="B1597" s="3" t="str">
        <f>"FES1162741315"</f>
        <v>FES1162741315</v>
      </c>
      <c r="C1597" s="3" t="s">
        <v>1190</v>
      </c>
      <c r="D1597" s="3">
        <v>1</v>
      </c>
      <c r="E1597" s="3" t="str">
        <f>"2170732953"</f>
        <v>2170732953</v>
      </c>
      <c r="F1597" s="3" t="s">
        <v>528</v>
      </c>
      <c r="G1597" s="3" t="s">
        <v>948</v>
      </c>
      <c r="H1597" s="3" t="s">
        <v>1271</v>
      </c>
      <c r="I1597" s="3" t="s">
        <v>453</v>
      </c>
      <c r="J1597" s="3" t="s">
        <v>658</v>
      </c>
      <c r="K1597" s="3" t="s">
        <v>1228</v>
      </c>
      <c r="L1597" s="4">
        <v>0.4375</v>
      </c>
      <c r="M1597" s="3" t="s">
        <v>488</v>
      </c>
      <c r="N1597" s="3" t="s">
        <v>24</v>
      </c>
      <c r="O1597" s="3" t="s">
        <v>317</v>
      </c>
    </row>
    <row r="1598" spans="1:15">
      <c r="A1598" s="3" t="s">
        <v>15</v>
      </c>
      <c r="B1598" s="3" t="str">
        <f>"FES1162741440"</f>
        <v>FES1162741440</v>
      </c>
      <c r="C1598" s="3" t="s">
        <v>1190</v>
      </c>
      <c r="D1598" s="3">
        <v>1</v>
      </c>
      <c r="E1598" s="3" t="str">
        <f>"2170732974"</f>
        <v>2170732974</v>
      </c>
      <c r="F1598" s="3" t="s">
        <v>17</v>
      </c>
      <c r="G1598" s="3" t="s">
        <v>18</v>
      </c>
      <c r="H1598" s="3" t="s">
        <v>18</v>
      </c>
      <c r="I1598" s="3" t="s">
        <v>168</v>
      </c>
      <c r="J1598" s="3" t="s">
        <v>667</v>
      </c>
      <c r="K1598" s="3" t="s">
        <v>1228</v>
      </c>
      <c r="L1598" s="4">
        <v>0.39583333333333331</v>
      </c>
      <c r="M1598" s="3" t="s">
        <v>1474</v>
      </c>
      <c r="N1598" s="3" t="s">
        <v>24</v>
      </c>
      <c r="O1598" s="3" t="s">
        <v>25</v>
      </c>
    </row>
    <row r="1599" spans="1:15">
      <c r="A1599" s="3" t="s">
        <v>15</v>
      </c>
      <c r="B1599" s="3" t="str">
        <f>"FES1162741369"</f>
        <v>FES1162741369</v>
      </c>
      <c r="C1599" s="3" t="s">
        <v>1190</v>
      </c>
      <c r="D1599" s="3">
        <v>1</v>
      </c>
      <c r="E1599" s="3" t="str">
        <f>"2170730909"</f>
        <v>2170730909</v>
      </c>
      <c r="F1599" s="3" t="s">
        <v>17</v>
      </c>
      <c r="G1599" s="3" t="s">
        <v>18</v>
      </c>
      <c r="H1599" s="3" t="s">
        <v>18</v>
      </c>
      <c r="I1599" s="3" t="s">
        <v>26</v>
      </c>
      <c r="J1599" s="3" t="s">
        <v>1475</v>
      </c>
      <c r="K1599" s="3" t="s">
        <v>1228</v>
      </c>
      <c r="L1599" s="4">
        <v>0.45833333333333331</v>
      </c>
      <c r="M1599" s="3" t="s">
        <v>1476</v>
      </c>
      <c r="N1599" s="3" t="s">
        <v>24</v>
      </c>
      <c r="O1599" s="3" t="s">
        <v>25</v>
      </c>
    </row>
    <row r="1600" spans="1:15">
      <c r="A1600" s="3" t="s">
        <v>15</v>
      </c>
      <c r="B1600" s="3" t="str">
        <f>"FES1162741406"</f>
        <v>FES1162741406</v>
      </c>
      <c r="C1600" s="3" t="s">
        <v>1190</v>
      </c>
      <c r="D1600" s="3">
        <v>1</v>
      </c>
      <c r="E1600" s="3" t="str">
        <f>"21707321852"</f>
        <v>21707321852</v>
      </c>
      <c r="F1600" s="3" t="s">
        <v>17</v>
      </c>
      <c r="G1600" s="3" t="s">
        <v>18</v>
      </c>
      <c r="H1600" s="3" t="s">
        <v>18</v>
      </c>
      <c r="I1600" s="3" t="s">
        <v>206</v>
      </c>
      <c r="J1600" s="3" t="s">
        <v>207</v>
      </c>
      <c r="K1600" s="3" t="s">
        <v>1228</v>
      </c>
      <c r="L1600" s="4">
        <v>0.33333333333333331</v>
      </c>
      <c r="M1600" s="3" t="s">
        <v>1433</v>
      </c>
      <c r="N1600" s="3" t="s">
        <v>24</v>
      </c>
      <c r="O1600" s="3" t="s">
        <v>25</v>
      </c>
    </row>
    <row r="1601" spans="1:15">
      <c r="A1601" s="3" t="s">
        <v>15</v>
      </c>
      <c r="B1601" s="3" t="str">
        <f>"FES1162741332"</f>
        <v>FES1162741332</v>
      </c>
      <c r="C1601" s="3" t="s">
        <v>1190</v>
      </c>
      <c r="D1601" s="3">
        <v>1</v>
      </c>
      <c r="E1601" s="3" t="str">
        <f>"2170730544"</f>
        <v>2170730544</v>
      </c>
      <c r="F1601" s="3" t="s">
        <v>17</v>
      </c>
      <c r="G1601" s="3" t="s">
        <v>18</v>
      </c>
      <c r="H1601" s="3" t="s">
        <v>18</v>
      </c>
      <c r="I1601" s="3" t="s">
        <v>29</v>
      </c>
      <c r="J1601" s="3" t="s">
        <v>1319</v>
      </c>
      <c r="K1601" s="3" t="s">
        <v>1228</v>
      </c>
      <c r="L1601" s="4">
        <v>0.4236111111111111</v>
      </c>
      <c r="M1601" s="3" t="s">
        <v>1320</v>
      </c>
      <c r="N1601" s="3" t="s">
        <v>24</v>
      </c>
      <c r="O1601" s="3" t="s">
        <v>25</v>
      </c>
    </row>
    <row r="1602" spans="1:15">
      <c r="A1602" s="3" t="s">
        <v>15</v>
      </c>
      <c r="B1602" s="3" t="str">
        <f>"FES1162741382"</f>
        <v>FES1162741382</v>
      </c>
      <c r="C1602" s="3" t="s">
        <v>1190</v>
      </c>
      <c r="D1602" s="3">
        <v>1</v>
      </c>
      <c r="E1602" s="3" t="str">
        <f>"2170731005"</f>
        <v>2170731005</v>
      </c>
      <c r="F1602" s="3" t="s">
        <v>17</v>
      </c>
      <c r="G1602" s="3" t="s">
        <v>18</v>
      </c>
      <c r="H1602" s="3" t="s">
        <v>66</v>
      </c>
      <c r="I1602" s="3" t="s">
        <v>67</v>
      </c>
      <c r="J1602" s="3" t="s">
        <v>298</v>
      </c>
      <c r="K1602" s="3" t="s">
        <v>1228</v>
      </c>
      <c r="L1602" s="4">
        <v>0.34375</v>
      </c>
      <c r="M1602" s="3" t="s">
        <v>299</v>
      </c>
      <c r="N1602" s="3" t="s">
        <v>24</v>
      </c>
      <c r="O1602" s="3" t="s">
        <v>25</v>
      </c>
    </row>
    <row r="1603" spans="1:15">
      <c r="A1603" s="3" t="s">
        <v>15</v>
      </c>
      <c r="B1603" s="3" t="str">
        <f>"FES1162741390"</f>
        <v>FES1162741390</v>
      </c>
      <c r="C1603" s="3" t="s">
        <v>1190</v>
      </c>
      <c r="D1603" s="3">
        <v>1</v>
      </c>
      <c r="E1603" s="3" t="str">
        <f>"2170731099"</f>
        <v>2170731099</v>
      </c>
      <c r="F1603" s="3" t="s">
        <v>17</v>
      </c>
      <c r="G1603" s="3" t="s">
        <v>18</v>
      </c>
      <c r="H1603" s="3" t="s">
        <v>18</v>
      </c>
      <c r="I1603" s="3" t="s">
        <v>313</v>
      </c>
      <c r="J1603" s="3" t="s">
        <v>314</v>
      </c>
      <c r="K1603" s="3" t="s">
        <v>1228</v>
      </c>
      <c r="L1603" s="4">
        <v>0.41666666666666669</v>
      </c>
      <c r="M1603" s="3" t="s">
        <v>315</v>
      </c>
      <c r="N1603" s="3" t="s">
        <v>24</v>
      </c>
      <c r="O1603" s="3" t="s">
        <v>25</v>
      </c>
    </row>
    <row r="1604" spans="1:15">
      <c r="A1604" s="3" t="s">
        <v>15</v>
      </c>
      <c r="B1604" s="3" t="str">
        <f>"FES1162741392"</f>
        <v>FES1162741392</v>
      </c>
      <c r="C1604" s="3" t="s">
        <v>1190</v>
      </c>
      <c r="D1604" s="3">
        <v>1</v>
      </c>
      <c r="E1604" s="3" t="str">
        <f>"2170731178"</f>
        <v>2170731178</v>
      </c>
      <c r="F1604" s="3" t="s">
        <v>17</v>
      </c>
      <c r="G1604" s="3" t="s">
        <v>18</v>
      </c>
      <c r="H1604" s="3" t="s">
        <v>18</v>
      </c>
      <c r="I1604" s="3" t="s">
        <v>33</v>
      </c>
      <c r="J1604" s="3" t="s">
        <v>93</v>
      </c>
      <c r="K1604" s="3" t="s">
        <v>1228</v>
      </c>
      <c r="L1604" s="4">
        <v>0.33333333333333331</v>
      </c>
      <c r="M1604" s="3" t="s">
        <v>1477</v>
      </c>
      <c r="N1604" s="3" t="s">
        <v>24</v>
      </c>
      <c r="O1604" s="3" t="s">
        <v>25</v>
      </c>
    </row>
    <row r="1605" spans="1:15">
      <c r="A1605" s="3" t="s">
        <v>15</v>
      </c>
      <c r="B1605" s="3" t="str">
        <f>"FES1162741313"</f>
        <v>FES1162741313</v>
      </c>
      <c r="C1605" s="3" t="s">
        <v>1190</v>
      </c>
      <c r="D1605" s="3">
        <v>1</v>
      </c>
      <c r="E1605" s="3" t="str">
        <f>"2170732951"</f>
        <v>2170732951</v>
      </c>
      <c r="F1605" s="3" t="s">
        <v>17</v>
      </c>
      <c r="G1605" s="3" t="s">
        <v>18</v>
      </c>
      <c r="H1605" s="3" t="s">
        <v>18</v>
      </c>
      <c r="I1605" s="3" t="s">
        <v>33</v>
      </c>
      <c r="J1605" s="3" t="s">
        <v>1478</v>
      </c>
      <c r="K1605" s="3" t="s">
        <v>1228</v>
      </c>
      <c r="L1605" s="4">
        <v>0.3263888888888889</v>
      </c>
      <c r="M1605" s="3" t="s">
        <v>1479</v>
      </c>
      <c r="N1605" s="3" t="s">
        <v>24</v>
      </c>
      <c r="O1605" s="3" t="s">
        <v>25</v>
      </c>
    </row>
    <row r="1606" spans="1:15">
      <c r="A1606" s="3" t="s">
        <v>15</v>
      </c>
      <c r="B1606" s="3" t="str">
        <f>"FES1162741350"</f>
        <v>FES1162741350</v>
      </c>
      <c r="C1606" s="3" t="s">
        <v>1190</v>
      </c>
      <c r="D1606" s="3">
        <v>1</v>
      </c>
      <c r="E1606" s="3" t="str">
        <f>"2170730723"</f>
        <v>2170730723</v>
      </c>
      <c r="F1606" s="3" t="s">
        <v>17</v>
      </c>
      <c r="G1606" s="3" t="s">
        <v>18</v>
      </c>
      <c r="H1606" s="3" t="s">
        <v>18</v>
      </c>
      <c r="I1606" s="3" t="s">
        <v>338</v>
      </c>
      <c r="J1606" s="3" t="s">
        <v>1480</v>
      </c>
      <c r="K1606" s="3" t="s">
        <v>1228</v>
      </c>
      <c r="L1606" s="4">
        <v>0.375</v>
      </c>
      <c r="M1606" s="3" t="s">
        <v>1481</v>
      </c>
      <c r="N1606" s="3" t="s">
        <v>24</v>
      </c>
      <c r="O1606" s="3" t="s">
        <v>25</v>
      </c>
    </row>
    <row r="1607" spans="1:15">
      <c r="A1607" s="3" t="s">
        <v>15</v>
      </c>
      <c r="B1607" s="3" t="str">
        <f>"FES1162741342"</f>
        <v>FES1162741342</v>
      </c>
      <c r="C1607" s="3" t="s">
        <v>1190</v>
      </c>
      <c r="D1607" s="3">
        <v>1</v>
      </c>
      <c r="E1607" s="3" t="str">
        <f>"2170730633"</f>
        <v>2170730633</v>
      </c>
      <c r="F1607" s="3" t="s">
        <v>17</v>
      </c>
      <c r="G1607" s="3" t="s">
        <v>18</v>
      </c>
      <c r="H1607" s="3" t="s">
        <v>18</v>
      </c>
      <c r="I1607" s="3" t="s">
        <v>171</v>
      </c>
      <c r="J1607" s="3" t="s">
        <v>1482</v>
      </c>
      <c r="K1607" s="3" t="s">
        <v>1228</v>
      </c>
      <c r="L1607" s="4">
        <v>0.33194444444444443</v>
      </c>
      <c r="M1607" s="3" t="s">
        <v>1065</v>
      </c>
      <c r="N1607" s="3" t="s">
        <v>24</v>
      </c>
      <c r="O1607" s="3" t="s">
        <v>25</v>
      </c>
    </row>
    <row r="1608" spans="1:15">
      <c r="A1608" s="3" t="s">
        <v>15</v>
      </c>
      <c r="B1608" s="3" t="str">
        <f>"FES1162741316"</f>
        <v>FES1162741316</v>
      </c>
      <c r="C1608" s="3" t="s">
        <v>1190</v>
      </c>
      <c r="D1608" s="3">
        <v>1</v>
      </c>
      <c r="E1608" s="3" t="str">
        <f>"2170731757"</f>
        <v>2170731757</v>
      </c>
      <c r="F1608" s="3" t="s">
        <v>17</v>
      </c>
      <c r="G1608" s="3" t="s">
        <v>18</v>
      </c>
      <c r="H1608" s="3" t="s">
        <v>18</v>
      </c>
      <c r="I1608" s="3" t="s">
        <v>29</v>
      </c>
      <c r="J1608" s="3" t="s">
        <v>307</v>
      </c>
      <c r="K1608" s="3" t="s">
        <v>1228</v>
      </c>
      <c r="L1608" s="4">
        <v>0.33333333333333331</v>
      </c>
      <c r="M1608" s="3" t="s">
        <v>1483</v>
      </c>
      <c r="N1608" s="3" t="s">
        <v>24</v>
      </c>
      <c r="O1608" s="3" t="s">
        <v>25</v>
      </c>
    </row>
    <row r="1609" spans="1:15">
      <c r="A1609" s="3" t="s">
        <v>15</v>
      </c>
      <c r="B1609" s="3" t="str">
        <f>"FES1162741345"</f>
        <v>FES1162741345</v>
      </c>
      <c r="C1609" s="3" t="s">
        <v>1190</v>
      </c>
      <c r="D1609" s="3">
        <v>1</v>
      </c>
      <c r="E1609" s="3" t="str">
        <f>"2170730700"</f>
        <v>2170730700</v>
      </c>
      <c r="F1609" s="3" t="s">
        <v>17</v>
      </c>
      <c r="G1609" s="3" t="s">
        <v>18</v>
      </c>
      <c r="H1609" s="3" t="s">
        <v>18</v>
      </c>
      <c r="I1609" s="3" t="s">
        <v>33</v>
      </c>
      <c r="J1609" s="3" t="s">
        <v>229</v>
      </c>
      <c r="K1609" s="3" t="s">
        <v>1228</v>
      </c>
      <c r="L1609" s="4">
        <v>0.33333333333333331</v>
      </c>
      <c r="M1609" s="3" t="s">
        <v>182</v>
      </c>
      <c r="N1609" s="3" t="s">
        <v>24</v>
      </c>
      <c r="O1609" s="3" t="s">
        <v>25</v>
      </c>
    </row>
    <row r="1610" spans="1:15">
      <c r="A1610" s="3" t="s">
        <v>15</v>
      </c>
      <c r="B1610" s="3" t="str">
        <f>"FES1162741414"</f>
        <v>FES1162741414</v>
      </c>
      <c r="C1610" s="3" t="s">
        <v>1190</v>
      </c>
      <c r="D1610" s="3">
        <v>1</v>
      </c>
      <c r="E1610" s="3" t="str">
        <f>"2170732672"</f>
        <v>2170732672</v>
      </c>
      <c r="F1610" s="3" t="s">
        <v>17</v>
      </c>
      <c r="G1610" s="3" t="s">
        <v>18</v>
      </c>
      <c r="H1610" s="3" t="s">
        <v>18</v>
      </c>
      <c r="I1610" s="3" t="s">
        <v>291</v>
      </c>
      <c r="J1610" s="3" t="s">
        <v>1484</v>
      </c>
      <c r="K1610" s="3" t="s">
        <v>1228</v>
      </c>
      <c r="L1610" s="4">
        <v>0.33333333333333331</v>
      </c>
      <c r="M1610" s="3" t="s">
        <v>1485</v>
      </c>
      <c r="N1610" s="3" t="s">
        <v>24</v>
      </c>
      <c r="O1610" s="3" t="s">
        <v>25</v>
      </c>
    </row>
    <row r="1611" spans="1:15">
      <c r="A1611" s="3" t="s">
        <v>15</v>
      </c>
      <c r="B1611" s="3" t="str">
        <f>"FES1162741488"</f>
        <v>FES1162741488</v>
      </c>
      <c r="C1611" s="3" t="s">
        <v>1190</v>
      </c>
      <c r="D1611" s="3">
        <v>1</v>
      </c>
      <c r="E1611" s="3" t="str">
        <f>"21707330"</f>
        <v>21707330</v>
      </c>
      <c r="F1611" s="3" t="s">
        <v>17</v>
      </c>
      <c r="G1611" s="3" t="s">
        <v>18</v>
      </c>
      <c r="H1611" s="3" t="s">
        <v>36</v>
      </c>
      <c r="I1611" s="3" t="s">
        <v>37</v>
      </c>
      <c r="J1611" s="3" t="s">
        <v>1486</v>
      </c>
      <c r="K1611" s="3" t="s">
        <v>1228</v>
      </c>
      <c r="L1611" s="4">
        <v>0.38819444444444445</v>
      </c>
      <c r="M1611" s="3" t="s">
        <v>1487</v>
      </c>
      <c r="N1611" s="3" t="s">
        <v>24</v>
      </c>
      <c r="O1611" s="3" t="s">
        <v>25</v>
      </c>
    </row>
    <row r="1612" spans="1:15">
      <c r="A1612" s="3" t="s">
        <v>15</v>
      </c>
      <c r="B1612" s="3" t="str">
        <f>"FES1162741398"</f>
        <v>FES1162741398</v>
      </c>
      <c r="C1612" s="3" t="s">
        <v>1190</v>
      </c>
      <c r="D1612" s="3">
        <v>1</v>
      </c>
      <c r="E1612" s="3" t="str">
        <f>"2170731530"</f>
        <v>2170731530</v>
      </c>
      <c r="F1612" s="3" t="s">
        <v>17</v>
      </c>
      <c r="G1612" s="3" t="s">
        <v>18</v>
      </c>
      <c r="H1612" s="3" t="s">
        <v>18</v>
      </c>
      <c r="I1612" s="3" t="s">
        <v>171</v>
      </c>
      <c r="J1612" s="3" t="s">
        <v>642</v>
      </c>
      <c r="K1612" s="3" t="s">
        <v>1228</v>
      </c>
      <c r="L1612" s="4">
        <v>0.32291666666666669</v>
      </c>
      <c r="M1612" s="3" t="s">
        <v>643</v>
      </c>
      <c r="N1612" s="3" t="s">
        <v>24</v>
      </c>
      <c r="O1612" s="3" t="s">
        <v>25</v>
      </c>
    </row>
    <row r="1613" spans="1:15">
      <c r="A1613" s="5" t="s">
        <v>15</v>
      </c>
      <c r="B1613" s="5" t="str">
        <f>"FES1162741310"</f>
        <v>FES1162741310</v>
      </c>
      <c r="C1613" s="5" t="s">
        <v>1190</v>
      </c>
      <c r="D1613" s="5">
        <v>1</v>
      </c>
      <c r="E1613" s="5" t="str">
        <f>"2170732948"</f>
        <v>2170732948</v>
      </c>
      <c r="F1613" s="5" t="s">
        <v>17</v>
      </c>
      <c r="G1613" s="5" t="s">
        <v>18</v>
      </c>
      <c r="H1613" s="5" t="s">
        <v>18</v>
      </c>
      <c r="I1613" s="5" t="s">
        <v>29</v>
      </c>
      <c r="J1613" s="5" t="s">
        <v>568</v>
      </c>
      <c r="K1613" s="5" t="s">
        <v>1228</v>
      </c>
      <c r="L1613" s="6">
        <v>0.34236111111111112</v>
      </c>
      <c r="M1613" s="5" t="s">
        <v>1488</v>
      </c>
      <c r="N1613" s="3" t="s">
        <v>24</v>
      </c>
      <c r="O1613" s="5" t="s">
        <v>25</v>
      </c>
    </row>
    <row r="1614" spans="1:15">
      <c r="A1614" s="5" t="s">
        <v>15</v>
      </c>
      <c r="B1614" s="5" t="str">
        <f>"FES1162741477"</f>
        <v>FES1162741477</v>
      </c>
      <c r="C1614" s="5" t="s">
        <v>1190</v>
      </c>
      <c r="D1614" s="5">
        <v>1</v>
      </c>
      <c r="E1614" s="5" t="str">
        <f>"2170733024"</f>
        <v>2170733024</v>
      </c>
      <c r="F1614" s="5" t="s">
        <v>17</v>
      </c>
      <c r="G1614" s="5" t="s">
        <v>18</v>
      </c>
      <c r="H1614" s="5" t="s">
        <v>19</v>
      </c>
      <c r="I1614" s="5" t="s">
        <v>86</v>
      </c>
      <c r="J1614" s="5" t="s">
        <v>87</v>
      </c>
      <c r="K1614" s="5" t="s">
        <v>1228</v>
      </c>
      <c r="L1614" s="6">
        <v>0.57152777777777775</v>
      </c>
      <c r="M1614" s="5" t="s">
        <v>1489</v>
      </c>
      <c r="N1614" s="3" t="s">
        <v>24</v>
      </c>
      <c r="O1614" s="5" t="s">
        <v>25</v>
      </c>
    </row>
    <row r="1615" spans="1:15">
      <c r="A1615" s="5" t="s">
        <v>15</v>
      </c>
      <c r="B1615" s="5" t="str">
        <f>"FES1162741487"</f>
        <v>FES1162741487</v>
      </c>
      <c r="C1615" s="5" t="s">
        <v>1190</v>
      </c>
      <c r="D1615" s="5">
        <v>1</v>
      </c>
      <c r="E1615" s="5" t="str">
        <f>"2170733040"</f>
        <v>2170733040</v>
      </c>
      <c r="F1615" s="5" t="s">
        <v>17</v>
      </c>
      <c r="G1615" s="5" t="s">
        <v>18</v>
      </c>
      <c r="H1615" s="5" t="s">
        <v>70</v>
      </c>
      <c r="I1615" s="5" t="s">
        <v>71</v>
      </c>
      <c r="J1615" s="5" t="s">
        <v>252</v>
      </c>
      <c r="K1615" s="5" t="s">
        <v>1228</v>
      </c>
      <c r="L1615" s="6">
        <v>0.35069444444444442</v>
      </c>
      <c r="M1615" s="5" t="s">
        <v>253</v>
      </c>
      <c r="N1615" s="3" t="s">
        <v>24</v>
      </c>
      <c r="O1615" s="5" t="s">
        <v>25</v>
      </c>
    </row>
    <row r="1616" spans="1:15">
      <c r="A1616" s="5" t="s">
        <v>15</v>
      </c>
      <c r="B1616" s="5" t="str">
        <f>"FES1162741327"</f>
        <v>FES1162741327</v>
      </c>
      <c r="C1616" s="5" t="s">
        <v>1190</v>
      </c>
      <c r="D1616" s="5">
        <v>1</v>
      </c>
      <c r="E1616" s="5" t="str">
        <f>"2170730224"</f>
        <v>2170730224</v>
      </c>
      <c r="F1616" s="5" t="s">
        <v>17</v>
      </c>
      <c r="G1616" s="5" t="s">
        <v>18</v>
      </c>
      <c r="H1616" s="5" t="s">
        <v>19</v>
      </c>
      <c r="I1616" s="5" t="s">
        <v>445</v>
      </c>
      <c r="J1616" s="5" t="s">
        <v>446</v>
      </c>
      <c r="K1616" s="5" t="s">
        <v>1228</v>
      </c>
      <c r="L1616" s="6">
        <v>0.35069444444444442</v>
      </c>
      <c r="M1616" s="5" t="s">
        <v>1232</v>
      </c>
      <c r="N1616" s="3" t="s">
        <v>24</v>
      </c>
      <c r="O1616" s="5" t="s">
        <v>1490</v>
      </c>
    </row>
    <row r="1617" spans="1:15">
      <c r="A1617" s="5" t="s">
        <v>15</v>
      </c>
      <c r="B1617" s="5" t="str">
        <f>"FES1162741456"</f>
        <v>FES1162741456</v>
      </c>
      <c r="C1617" s="5" t="s">
        <v>1190</v>
      </c>
      <c r="D1617" s="5">
        <v>1</v>
      </c>
      <c r="E1617" s="5" t="str">
        <f>"2170732995"</f>
        <v>2170732995</v>
      </c>
      <c r="F1617" s="5" t="s">
        <v>17</v>
      </c>
      <c r="G1617" s="5" t="s">
        <v>18</v>
      </c>
      <c r="H1617" s="5" t="s">
        <v>100</v>
      </c>
      <c r="I1617" s="5" t="s">
        <v>144</v>
      </c>
      <c r="J1617" s="5" t="s">
        <v>378</v>
      </c>
      <c r="K1617" s="5" t="s">
        <v>1228</v>
      </c>
      <c r="L1617" s="6">
        <v>0.38819444444444445</v>
      </c>
      <c r="M1617" s="5" t="s">
        <v>1491</v>
      </c>
      <c r="N1617" s="3" t="s">
        <v>24</v>
      </c>
      <c r="O1617" s="5" t="s">
        <v>25</v>
      </c>
    </row>
    <row r="1618" spans="1:15">
      <c r="A1618" s="5" t="s">
        <v>15</v>
      </c>
      <c r="B1618" s="5" t="str">
        <f>"FES1162741468"</f>
        <v>FES1162741468</v>
      </c>
      <c r="C1618" s="5" t="s">
        <v>1190</v>
      </c>
      <c r="D1618" s="5">
        <v>1</v>
      </c>
      <c r="E1618" s="5" t="str">
        <f>"2170733013"</f>
        <v>2170733013</v>
      </c>
      <c r="F1618" s="5" t="s">
        <v>17</v>
      </c>
      <c r="G1618" s="5" t="s">
        <v>18</v>
      </c>
      <c r="H1618" s="5" t="s">
        <v>100</v>
      </c>
      <c r="I1618" s="5" t="s">
        <v>101</v>
      </c>
      <c r="J1618" s="5" t="s">
        <v>102</v>
      </c>
      <c r="K1618" s="5" t="s">
        <v>1228</v>
      </c>
      <c r="L1618" s="6">
        <v>0.35972222222222222</v>
      </c>
      <c r="M1618" s="5" t="s">
        <v>103</v>
      </c>
      <c r="N1618" s="3" t="s">
        <v>24</v>
      </c>
      <c r="O1618" s="5" t="s">
        <v>25</v>
      </c>
    </row>
    <row r="1619" spans="1:15">
      <c r="A1619" s="5" t="s">
        <v>15</v>
      </c>
      <c r="B1619" s="5" t="str">
        <f>"FES1162741501"</f>
        <v>FES1162741501</v>
      </c>
      <c r="C1619" s="5" t="s">
        <v>1190</v>
      </c>
      <c r="D1619" s="5">
        <v>1</v>
      </c>
      <c r="E1619" s="5" t="str">
        <f>"2170733050"</f>
        <v>2170733050</v>
      </c>
      <c r="F1619" s="5" t="s">
        <v>17</v>
      </c>
      <c r="G1619" s="5" t="s">
        <v>18</v>
      </c>
      <c r="H1619" s="5" t="s">
        <v>36</v>
      </c>
      <c r="I1619" s="5" t="s">
        <v>330</v>
      </c>
      <c r="J1619" s="5" t="s">
        <v>331</v>
      </c>
      <c r="K1619" s="5" t="s">
        <v>1228</v>
      </c>
      <c r="L1619" s="6">
        <v>0.40277777777777773</v>
      </c>
      <c r="M1619" s="5" t="s">
        <v>332</v>
      </c>
      <c r="N1619" s="3" t="s">
        <v>24</v>
      </c>
      <c r="O1619" s="5" t="s">
        <v>25</v>
      </c>
    </row>
    <row r="1620" spans="1:15">
      <c r="A1620" s="5" t="s">
        <v>15</v>
      </c>
      <c r="B1620" s="5" t="str">
        <f>"FES1162741491"</f>
        <v>FES1162741491</v>
      </c>
      <c r="C1620" s="5" t="s">
        <v>1190</v>
      </c>
      <c r="D1620" s="5">
        <v>1</v>
      </c>
      <c r="E1620" s="5" t="str">
        <f>"2170733026"</f>
        <v>2170733026</v>
      </c>
      <c r="F1620" s="5" t="s">
        <v>17</v>
      </c>
      <c r="G1620" s="5" t="s">
        <v>18</v>
      </c>
      <c r="H1620" s="5" t="s">
        <v>100</v>
      </c>
      <c r="I1620" s="5" t="s">
        <v>101</v>
      </c>
      <c r="J1620" s="5" t="s">
        <v>142</v>
      </c>
      <c r="K1620" s="5" t="s">
        <v>1228</v>
      </c>
      <c r="L1620" s="6">
        <v>0.40486111111111112</v>
      </c>
      <c r="M1620" s="5" t="s">
        <v>1169</v>
      </c>
      <c r="N1620" s="3" t="s">
        <v>24</v>
      </c>
      <c r="O1620" s="5" t="s">
        <v>25</v>
      </c>
    </row>
    <row r="1621" spans="1:15">
      <c r="A1621" s="3" t="s">
        <v>15</v>
      </c>
      <c r="B1621" s="3" t="str">
        <f>"FES1162741490"</f>
        <v>FES1162741490</v>
      </c>
      <c r="C1621" s="3" t="s">
        <v>1190</v>
      </c>
      <c r="D1621" s="3">
        <v>1</v>
      </c>
      <c r="E1621" s="3" t="str">
        <f>"2170733023"</f>
        <v>2170733023</v>
      </c>
      <c r="F1621" s="3" t="s">
        <v>17</v>
      </c>
      <c r="G1621" s="3" t="s">
        <v>18</v>
      </c>
      <c r="H1621" s="3" t="s">
        <v>100</v>
      </c>
      <c r="I1621" s="3" t="s">
        <v>101</v>
      </c>
      <c r="J1621" s="3" t="s">
        <v>142</v>
      </c>
      <c r="K1621" s="3" t="s">
        <v>1228</v>
      </c>
      <c r="L1621" s="4">
        <v>0.40486111111111112</v>
      </c>
      <c r="M1621" s="3" t="s">
        <v>1492</v>
      </c>
      <c r="N1621" s="3" t="s">
        <v>24</v>
      </c>
      <c r="O1621" s="3" t="s">
        <v>25</v>
      </c>
    </row>
    <row r="1622" spans="1:15">
      <c r="A1622" s="3" t="s">
        <v>15</v>
      </c>
      <c r="B1622" s="3" t="str">
        <f>"FES1162741453"</f>
        <v>FES1162741453</v>
      </c>
      <c r="C1622" s="3" t="s">
        <v>1190</v>
      </c>
      <c r="D1622" s="3">
        <v>1</v>
      </c>
      <c r="E1622" s="3" t="str">
        <f>"2170732992"</f>
        <v>2170732992</v>
      </c>
      <c r="F1622" s="3" t="s">
        <v>17</v>
      </c>
      <c r="G1622" s="3" t="s">
        <v>18</v>
      </c>
      <c r="H1622" s="3" t="s">
        <v>40</v>
      </c>
      <c r="I1622" s="3" t="s">
        <v>431</v>
      </c>
      <c r="J1622" s="3" t="s">
        <v>1493</v>
      </c>
      <c r="K1622" s="3" t="s">
        <v>1228</v>
      </c>
      <c r="L1622" s="4">
        <v>0.3833333333333333</v>
      </c>
      <c r="M1622" s="3" t="s">
        <v>1494</v>
      </c>
      <c r="N1622" s="3" t="s">
        <v>24</v>
      </c>
      <c r="O1622" s="3" t="s">
        <v>25</v>
      </c>
    </row>
    <row r="1623" spans="1:15">
      <c r="A1623" s="3" t="s">
        <v>15</v>
      </c>
      <c r="B1623" s="3" t="str">
        <f>"FES1162741449"</f>
        <v>FES1162741449</v>
      </c>
      <c r="C1623" s="3" t="s">
        <v>1190</v>
      </c>
      <c r="D1623" s="3">
        <v>1</v>
      </c>
      <c r="E1623" s="3" t="str">
        <f>"2170732987"</f>
        <v>2170732987</v>
      </c>
      <c r="F1623" s="3" t="s">
        <v>17</v>
      </c>
      <c r="G1623" s="3" t="s">
        <v>18</v>
      </c>
      <c r="H1623" s="3" t="s">
        <v>18</v>
      </c>
      <c r="I1623" s="3" t="s">
        <v>29</v>
      </c>
      <c r="J1623" s="3" t="s">
        <v>679</v>
      </c>
      <c r="K1623" s="3" t="s">
        <v>1228</v>
      </c>
      <c r="L1623" s="4">
        <v>0.32847222222222222</v>
      </c>
      <c r="M1623" s="3" t="s">
        <v>1495</v>
      </c>
      <c r="N1623" s="3" t="s">
        <v>24</v>
      </c>
      <c r="O1623" s="3" t="s">
        <v>25</v>
      </c>
    </row>
    <row r="1624" spans="1:15">
      <c r="A1624" s="3" t="s">
        <v>15</v>
      </c>
      <c r="B1624" s="3" t="str">
        <f>"FES1162741439"</f>
        <v>FES1162741439</v>
      </c>
      <c r="C1624" s="3" t="s">
        <v>1190</v>
      </c>
      <c r="D1624" s="3">
        <v>1</v>
      </c>
      <c r="E1624" s="3" t="str">
        <f>"2170732973"</f>
        <v>2170732973</v>
      </c>
      <c r="F1624" s="3" t="s">
        <v>17</v>
      </c>
      <c r="G1624" s="3" t="s">
        <v>18</v>
      </c>
      <c r="H1624" s="3" t="s">
        <v>66</v>
      </c>
      <c r="I1624" s="3" t="s">
        <v>67</v>
      </c>
      <c r="J1624" s="3" t="s">
        <v>287</v>
      </c>
      <c r="K1624" s="3" t="s">
        <v>1228</v>
      </c>
      <c r="L1624" s="4">
        <v>0.33333333333333331</v>
      </c>
      <c r="M1624" s="3" t="s">
        <v>1496</v>
      </c>
      <c r="N1624" s="3" t="s">
        <v>24</v>
      </c>
      <c r="O1624" s="3" t="s">
        <v>25</v>
      </c>
    </row>
    <row r="1625" spans="1:15">
      <c r="A1625" s="3" t="s">
        <v>15</v>
      </c>
      <c r="B1625" s="3" t="str">
        <f>"FES1162741444"</f>
        <v>FES1162741444</v>
      </c>
      <c r="C1625" s="3" t="s">
        <v>1190</v>
      </c>
      <c r="D1625" s="3">
        <v>1</v>
      </c>
      <c r="E1625" s="3" t="str">
        <f>"2170732983"</f>
        <v>2170732983</v>
      </c>
      <c r="F1625" s="3" t="s">
        <v>17</v>
      </c>
      <c r="G1625" s="3" t="s">
        <v>18</v>
      </c>
      <c r="H1625" s="3" t="s">
        <v>100</v>
      </c>
      <c r="I1625" s="3" t="s">
        <v>101</v>
      </c>
      <c r="J1625" s="3" t="s">
        <v>318</v>
      </c>
      <c r="K1625" s="3" t="s">
        <v>1228</v>
      </c>
      <c r="L1625" s="4">
        <v>0.33333333333333331</v>
      </c>
      <c r="M1625" s="3" t="s">
        <v>1497</v>
      </c>
      <c r="N1625" s="3" t="s">
        <v>24</v>
      </c>
      <c r="O1625" s="3" t="s">
        <v>25</v>
      </c>
    </row>
    <row r="1626" spans="1:15">
      <c r="A1626" s="3" t="s">
        <v>15</v>
      </c>
      <c r="B1626" s="3" t="str">
        <f>"FES1162741500"</f>
        <v>FES1162741500</v>
      </c>
      <c r="C1626" s="3" t="s">
        <v>1190</v>
      </c>
      <c r="D1626" s="3">
        <v>1</v>
      </c>
      <c r="E1626" s="3" t="str">
        <f>"2170733049"</f>
        <v>2170733049</v>
      </c>
      <c r="F1626" s="3" t="s">
        <v>17</v>
      </c>
      <c r="G1626" s="3" t="s">
        <v>18</v>
      </c>
      <c r="H1626" s="3" t="s">
        <v>36</v>
      </c>
      <c r="I1626" s="3" t="s">
        <v>37</v>
      </c>
      <c r="J1626" s="3" t="s">
        <v>378</v>
      </c>
      <c r="K1626" s="3" t="s">
        <v>1228</v>
      </c>
      <c r="L1626" s="4">
        <v>0.38541666666666669</v>
      </c>
      <c r="M1626" s="3" t="s">
        <v>1027</v>
      </c>
      <c r="N1626" s="3" t="s">
        <v>24</v>
      </c>
      <c r="O1626" s="3" t="s">
        <v>25</v>
      </c>
    </row>
    <row r="1627" spans="1:15">
      <c r="A1627" s="3" t="s">
        <v>15</v>
      </c>
      <c r="B1627" s="3" t="str">
        <f>"FES1162741485"</f>
        <v>FES1162741485</v>
      </c>
      <c r="C1627" s="3" t="s">
        <v>1190</v>
      </c>
      <c r="D1627" s="3">
        <v>1</v>
      </c>
      <c r="E1627" s="3" t="str">
        <f>"2170733037"</f>
        <v>2170733037</v>
      </c>
      <c r="F1627" s="3" t="s">
        <v>17</v>
      </c>
      <c r="G1627" s="3" t="s">
        <v>18</v>
      </c>
      <c r="H1627" s="3" t="s">
        <v>46</v>
      </c>
      <c r="I1627" s="3" t="s">
        <v>47</v>
      </c>
      <c r="J1627" s="3" t="s">
        <v>1498</v>
      </c>
      <c r="K1627" s="3" t="s">
        <v>1228</v>
      </c>
      <c r="L1627" s="4">
        <v>0.43402777777777773</v>
      </c>
      <c r="M1627" s="3" t="s">
        <v>1499</v>
      </c>
      <c r="N1627" s="3" t="s">
        <v>24</v>
      </c>
      <c r="O1627" s="3" t="s">
        <v>25</v>
      </c>
    </row>
    <row r="1628" spans="1:15">
      <c r="A1628" s="3" t="s">
        <v>15</v>
      </c>
      <c r="B1628" s="3" t="str">
        <f>"FES1162741375"</f>
        <v>FES1162741375</v>
      </c>
      <c r="C1628" s="3" t="s">
        <v>1190</v>
      </c>
      <c r="D1628" s="3">
        <v>1</v>
      </c>
      <c r="E1628" s="3" t="str">
        <f>"2170730943"</f>
        <v>2170730943</v>
      </c>
      <c r="F1628" s="3" t="s">
        <v>17</v>
      </c>
      <c r="G1628" s="3" t="s">
        <v>18</v>
      </c>
      <c r="H1628" s="3" t="s">
        <v>18</v>
      </c>
      <c r="I1628" s="3" t="s">
        <v>29</v>
      </c>
      <c r="J1628" s="3" t="s">
        <v>147</v>
      </c>
      <c r="K1628" s="3" t="s">
        <v>1228</v>
      </c>
      <c r="L1628" s="4">
        <v>0.3756944444444445</v>
      </c>
      <c r="M1628" s="3" t="s">
        <v>148</v>
      </c>
      <c r="N1628" s="3" t="s">
        <v>24</v>
      </c>
      <c r="O1628" s="3" t="s">
        <v>25</v>
      </c>
    </row>
    <row r="1629" spans="1:15">
      <c r="A1629" s="3" t="s">
        <v>15</v>
      </c>
      <c r="B1629" s="3" t="str">
        <f>"FES1162741509"</f>
        <v>FES1162741509</v>
      </c>
      <c r="C1629" s="3" t="s">
        <v>1190</v>
      </c>
      <c r="D1629" s="3">
        <v>1</v>
      </c>
      <c r="E1629" s="3" t="str">
        <f>"2170733059"</f>
        <v>2170733059</v>
      </c>
      <c r="F1629" s="3" t="s">
        <v>17</v>
      </c>
      <c r="G1629" s="3" t="s">
        <v>18</v>
      </c>
      <c r="H1629" s="3" t="s">
        <v>36</v>
      </c>
      <c r="I1629" s="3" t="s">
        <v>37</v>
      </c>
      <c r="J1629" s="3" t="s">
        <v>434</v>
      </c>
      <c r="K1629" s="3" t="s">
        <v>1228</v>
      </c>
      <c r="L1629" s="4">
        <v>0.3354166666666667</v>
      </c>
      <c r="M1629" s="3" t="s">
        <v>435</v>
      </c>
      <c r="N1629" s="3" t="s">
        <v>24</v>
      </c>
      <c r="O1629" s="3" t="s">
        <v>25</v>
      </c>
    </row>
    <row r="1630" spans="1:15">
      <c r="A1630" s="3" t="s">
        <v>15</v>
      </c>
      <c r="B1630" s="3" t="str">
        <f>"FES1162741426"</f>
        <v>FES1162741426</v>
      </c>
      <c r="C1630" s="3" t="s">
        <v>1190</v>
      </c>
      <c r="D1630" s="3">
        <v>1</v>
      </c>
      <c r="E1630" s="3" t="str">
        <f>"2170728250"</f>
        <v>2170728250</v>
      </c>
      <c r="F1630" s="3" t="s">
        <v>17</v>
      </c>
      <c r="G1630" s="3" t="s">
        <v>18</v>
      </c>
      <c r="H1630" s="3" t="s">
        <v>18</v>
      </c>
      <c r="I1630" s="3" t="s">
        <v>151</v>
      </c>
      <c r="J1630" s="3" t="s">
        <v>407</v>
      </c>
      <c r="K1630" s="3" t="s">
        <v>1228</v>
      </c>
      <c r="L1630" s="4">
        <v>0.42222222222222222</v>
      </c>
      <c r="M1630" s="3" t="s">
        <v>1250</v>
      </c>
      <c r="N1630" s="3" t="s">
        <v>24</v>
      </c>
      <c r="O1630" s="3" t="s">
        <v>25</v>
      </c>
    </row>
    <row r="1631" spans="1:15">
      <c r="A1631" s="3" t="s">
        <v>15</v>
      </c>
      <c r="B1631" s="3" t="str">
        <f>"FES1162741507"</f>
        <v>FES1162741507</v>
      </c>
      <c r="C1631" s="3" t="s">
        <v>1190</v>
      </c>
      <c r="D1631" s="3">
        <v>1</v>
      </c>
      <c r="E1631" s="3" t="str">
        <f>"2170733058"</f>
        <v>2170733058</v>
      </c>
      <c r="F1631" s="3" t="s">
        <v>17</v>
      </c>
      <c r="G1631" s="3" t="s">
        <v>18</v>
      </c>
      <c r="H1631" s="3" t="s">
        <v>66</v>
      </c>
      <c r="I1631" s="3" t="s">
        <v>67</v>
      </c>
      <c r="J1631" s="3" t="s">
        <v>1294</v>
      </c>
      <c r="K1631" s="3" t="s">
        <v>1228</v>
      </c>
      <c r="L1631" s="4">
        <v>0.38541666666666669</v>
      </c>
      <c r="M1631" s="3" t="s">
        <v>1500</v>
      </c>
      <c r="N1631" s="3" t="s">
        <v>24</v>
      </c>
      <c r="O1631" s="3" t="s">
        <v>25</v>
      </c>
    </row>
    <row r="1632" spans="1:15">
      <c r="A1632" s="3" t="s">
        <v>15</v>
      </c>
      <c r="B1632" s="3" t="str">
        <f>"FES1162741515"</f>
        <v>FES1162741515</v>
      </c>
      <c r="C1632" s="3" t="s">
        <v>1190</v>
      </c>
      <c r="D1632" s="3">
        <v>1</v>
      </c>
      <c r="E1632" s="3" t="str">
        <f>"2170733069"</f>
        <v>2170733069</v>
      </c>
      <c r="F1632" s="3" t="s">
        <v>17</v>
      </c>
      <c r="G1632" s="3" t="s">
        <v>18</v>
      </c>
      <c r="H1632" s="3" t="s">
        <v>66</v>
      </c>
      <c r="I1632" s="3" t="s">
        <v>67</v>
      </c>
      <c r="J1632" s="3" t="s">
        <v>287</v>
      </c>
      <c r="K1632" s="3" t="s">
        <v>1228</v>
      </c>
      <c r="L1632" s="4">
        <v>0.33333333333333331</v>
      </c>
      <c r="M1632" s="3" t="s">
        <v>1496</v>
      </c>
      <c r="N1632" s="3" t="s">
        <v>24</v>
      </c>
      <c r="O1632" s="3" t="s">
        <v>25</v>
      </c>
    </row>
    <row r="1633" spans="1:15">
      <c r="A1633" s="3" t="s">
        <v>15</v>
      </c>
      <c r="B1633" s="3" t="str">
        <f>"FES1162741494"</f>
        <v>FES1162741494</v>
      </c>
      <c r="C1633" s="3" t="s">
        <v>1190</v>
      </c>
      <c r="D1633" s="3">
        <v>1</v>
      </c>
      <c r="E1633" s="3" t="str">
        <f>"21707833040"</f>
        <v>21707833040</v>
      </c>
      <c r="F1633" s="3" t="s">
        <v>17</v>
      </c>
      <c r="G1633" s="3" t="s">
        <v>18</v>
      </c>
      <c r="H1633" s="3" t="s">
        <v>66</v>
      </c>
      <c r="I1633" s="3" t="s">
        <v>67</v>
      </c>
      <c r="J1633" s="3" t="s">
        <v>1431</v>
      </c>
      <c r="K1633" s="3" t="s">
        <v>1228</v>
      </c>
      <c r="L1633" s="4">
        <v>0.37847222222222227</v>
      </c>
      <c r="M1633" s="3" t="s">
        <v>1501</v>
      </c>
      <c r="N1633" s="3" t="s">
        <v>24</v>
      </c>
      <c r="O1633" s="3" t="s">
        <v>25</v>
      </c>
    </row>
    <row r="1634" spans="1:15">
      <c r="A1634" s="3" t="s">
        <v>15</v>
      </c>
      <c r="B1634" s="3" t="str">
        <f>"FES1162741484"</f>
        <v>FES1162741484</v>
      </c>
      <c r="C1634" s="3" t="s">
        <v>1190</v>
      </c>
      <c r="D1634" s="3">
        <v>1</v>
      </c>
      <c r="E1634" s="3" t="str">
        <f>"2170733035"</f>
        <v>2170733035</v>
      </c>
      <c r="F1634" s="3" t="s">
        <v>17</v>
      </c>
      <c r="G1634" s="3" t="s">
        <v>18</v>
      </c>
      <c r="H1634" s="3" t="s">
        <v>66</v>
      </c>
      <c r="I1634" s="3" t="s">
        <v>67</v>
      </c>
      <c r="J1634" s="3" t="s">
        <v>166</v>
      </c>
      <c r="K1634" s="3" t="s">
        <v>1228</v>
      </c>
      <c r="L1634" s="4">
        <v>0.3298611111111111</v>
      </c>
      <c r="M1634" s="3" t="s">
        <v>193</v>
      </c>
      <c r="N1634" s="3" t="s">
        <v>24</v>
      </c>
      <c r="O1634" s="3" t="s">
        <v>25</v>
      </c>
    </row>
    <row r="1635" spans="1:15">
      <c r="A1635" s="3" t="s">
        <v>15</v>
      </c>
      <c r="B1635" s="3" t="str">
        <f>"FES1162741374"</f>
        <v>FES1162741374</v>
      </c>
      <c r="C1635" s="3" t="s">
        <v>1190</v>
      </c>
      <c r="D1635" s="3">
        <v>1</v>
      </c>
      <c r="E1635" s="3" t="str">
        <f>"2170730934"</f>
        <v>2170730934</v>
      </c>
      <c r="F1635" s="3" t="s">
        <v>17</v>
      </c>
      <c r="G1635" s="3" t="s">
        <v>18</v>
      </c>
      <c r="H1635" s="3" t="s">
        <v>18</v>
      </c>
      <c r="I1635" s="3" t="s">
        <v>341</v>
      </c>
      <c r="J1635" s="3" t="s">
        <v>342</v>
      </c>
      <c r="K1635" s="3" t="s">
        <v>1228</v>
      </c>
      <c r="L1635" s="4">
        <v>0.38958333333333334</v>
      </c>
      <c r="M1635" s="3" t="s">
        <v>1502</v>
      </c>
      <c r="N1635" s="3" t="s">
        <v>24</v>
      </c>
      <c r="O1635" s="3" t="s">
        <v>25</v>
      </c>
    </row>
    <row r="1636" spans="1:15">
      <c r="A1636" s="3" t="s">
        <v>15</v>
      </c>
      <c r="B1636" s="3" t="str">
        <f>"FES1162741353"</f>
        <v>FES1162741353</v>
      </c>
      <c r="C1636" s="3" t="s">
        <v>1190</v>
      </c>
      <c r="D1636" s="3">
        <v>1</v>
      </c>
      <c r="E1636" s="3" t="str">
        <f>"2170730738"</f>
        <v>2170730738</v>
      </c>
      <c r="F1636" s="3" t="s">
        <v>17</v>
      </c>
      <c r="G1636" s="3" t="s">
        <v>18</v>
      </c>
      <c r="H1636" s="3" t="s">
        <v>18</v>
      </c>
      <c r="I1636" s="3" t="s">
        <v>184</v>
      </c>
      <c r="J1636" s="3" t="s">
        <v>185</v>
      </c>
      <c r="K1636" s="3" t="s">
        <v>1228</v>
      </c>
      <c r="L1636" s="4">
        <v>0.36805555555555558</v>
      </c>
      <c r="M1636" s="3" t="s">
        <v>200</v>
      </c>
      <c r="N1636" s="3" t="s">
        <v>24</v>
      </c>
      <c r="O1636" s="3" t="s">
        <v>25</v>
      </c>
    </row>
    <row r="1637" spans="1:15">
      <c r="A1637" s="3" t="s">
        <v>15</v>
      </c>
      <c r="B1637" s="3" t="str">
        <f>"FES1162741311"</f>
        <v>FES1162741311</v>
      </c>
      <c r="C1637" s="3" t="s">
        <v>1190</v>
      </c>
      <c r="D1637" s="3">
        <v>1</v>
      </c>
      <c r="E1637" s="3" t="str">
        <f>"2170732949"</f>
        <v>2170732949</v>
      </c>
      <c r="F1637" s="3" t="s">
        <v>17</v>
      </c>
      <c r="G1637" s="3" t="s">
        <v>18</v>
      </c>
      <c r="H1637" s="3" t="s">
        <v>18</v>
      </c>
      <c r="I1637" s="3" t="s">
        <v>341</v>
      </c>
      <c r="J1637" s="3" t="s">
        <v>1274</v>
      </c>
      <c r="K1637" s="3" t="s">
        <v>1228</v>
      </c>
      <c r="L1637" s="4">
        <v>0.42569444444444443</v>
      </c>
      <c r="M1637" s="3" t="s">
        <v>1503</v>
      </c>
      <c r="N1637" s="3" t="s">
        <v>24</v>
      </c>
      <c r="O1637" s="3" t="s">
        <v>317</v>
      </c>
    </row>
    <row r="1638" spans="1:15">
      <c r="A1638" s="3" t="s">
        <v>15</v>
      </c>
      <c r="B1638" s="3" t="str">
        <f>"FES1162741513"</f>
        <v>FES1162741513</v>
      </c>
      <c r="C1638" s="3" t="s">
        <v>1190</v>
      </c>
      <c r="D1638" s="3">
        <v>1</v>
      </c>
      <c r="E1638" s="3" t="str">
        <f>"2170732960"</f>
        <v>2170732960</v>
      </c>
      <c r="F1638" s="3" t="s">
        <v>17</v>
      </c>
      <c r="G1638" s="3" t="s">
        <v>18</v>
      </c>
      <c r="H1638" s="3" t="s">
        <v>18</v>
      </c>
      <c r="I1638" s="3" t="s">
        <v>168</v>
      </c>
      <c r="J1638" s="3" t="s">
        <v>1177</v>
      </c>
      <c r="K1638" s="3" t="s">
        <v>1228</v>
      </c>
      <c r="L1638" s="4">
        <v>0.40208333333333335</v>
      </c>
      <c r="M1638" s="3" t="s">
        <v>1504</v>
      </c>
      <c r="N1638" s="3" t="s">
        <v>24</v>
      </c>
      <c r="O1638" s="3" t="s">
        <v>25</v>
      </c>
    </row>
    <row r="1639" spans="1:15">
      <c r="A1639" s="3" t="s">
        <v>15</v>
      </c>
      <c r="B1639" s="3" t="str">
        <f>"FES1162741480"</f>
        <v>FES1162741480</v>
      </c>
      <c r="C1639" s="3" t="s">
        <v>1190</v>
      </c>
      <c r="D1639" s="3">
        <v>1</v>
      </c>
      <c r="E1639" s="3" t="str">
        <f>"2170733030"</f>
        <v>2170733030</v>
      </c>
      <c r="F1639" s="3" t="s">
        <v>17</v>
      </c>
      <c r="G1639" s="3" t="s">
        <v>18</v>
      </c>
      <c r="H1639" s="3" t="s">
        <v>66</v>
      </c>
      <c r="I1639" s="3" t="s">
        <v>67</v>
      </c>
      <c r="J1639" s="3" t="s">
        <v>287</v>
      </c>
      <c r="K1639" s="3" t="s">
        <v>1228</v>
      </c>
      <c r="L1639" s="4">
        <v>0.33333333333333331</v>
      </c>
      <c r="M1639" s="3" t="s">
        <v>1496</v>
      </c>
      <c r="N1639" s="3" t="s">
        <v>24</v>
      </c>
      <c r="O1639" s="3" t="s">
        <v>25</v>
      </c>
    </row>
    <row r="1640" spans="1:15">
      <c r="A1640" s="3" t="s">
        <v>15</v>
      </c>
      <c r="B1640" s="3" t="str">
        <f>"FES1162741464"</f>
        <v>FES1162741464</v>
      </c>
      <c r="C1640" s="3" t="s">
        <v>1190</v>
      </c>
      <c r="D1640" s="3">
        <v>1</v>
      </c>
      <c r="E1640" s="3" t="str">
        <f>"2170733008"</f>
        <v>2170733008</v>
      </c>
      <c r="F1640" s="3" t="s">
        <v>17</v>
      </c>
      <c r="G1640" s="3" t="s">
        <v>18</v>
      </c>
      <c r="H1640" s="3" t="s">
        <v>66</v>
      </c>
      <c r="I1640" s="3" t="s">
        <v>67</v>
      </c>
      <c r="J1640" s="3" t="s">
        <v>68</v>
      </c>
      <c r="K1640" s="3" t="s">
        <v>1228</v>
      </c>
      <c r="L1640" s="4">
        <v>0.38194444444444442</v>
      </c>
      <c r="M1640" s="3" t="s">
        <v>1505</v>
      </c>
      <c r="N1640" s="3" t="s">
        <v>24</v>
      </c>
      <c r="O1640" s="3" t="s">
        <v>25</v>
      </c>
    </row>
    <row r="1641" spans="1:15">
      <c r="A1641" s="3" t="s">
        <v>15</v>
      </c>
      <c r="B1641" s="3" t="str">
        <f>"FES1162741517"</f>
        <v>FES1162741517</v>
      </c>
      <c r="C1641" s="3" t="s">
        <v>1190</v>
      </c>
      <c r="D1641" s="3">
        <v>1</v>
      </c>
      <c r="E1641" s="3" t="str">
        <f>"2170733071"</f>
        <v>2170733071</v>
      </c>
      <c r="F1641" s="3" t="s">
        <v>17</v>
      </c>
      <c r="G1641" s="3" t="s">
        <v>18</v>
      </c>
      <c r="H1641" s="3" t="s">
        <v>100</v>
      </c>
      <c r="I1641" s="3" t="s">
        <v>101</v>
      </c>
      <c r="J1641" s="3" t="s">
        <v>131</v>
      </c>
      <c r="K1641" s="3" t="s">
        <v>1228</v>
      </c>
      <c r="L1641" s="4">
        <v>0.4375</v>
      </c>
      <c r="M1641" s="3" t="s">
        <v>357</v>
      </c>
      <c r="N1641" s="3" t="s">
        <v>24</v>
      </c>
      <c r="O1641" s="3" t="s">
        <v>25</v>
      </c>
    </row>
    <row r="1642" spans="1:15">
      <c r="A1642" s="3" t="s">
        <v>15</v>
      </c>
      <c r="B1642" s="3" t="str">
        <f>"FES1162741518"</f>
        <v>FES1162741518</v>
      </c>
      <c r="C1642" s="3" t="s">
        <v>1190</v>
      </c>
      <c r="D1642" s="3">
        <v>1</v>
      </c>
      <c r="E1642" s="3" t="str">
        <f>"2170733072"</f>
        <v>2170733072</v>
      </c>
      <c r="F1642" s="3" t="s">
        <v>17</v>
      </c>
      <c r="G1642" s="3" t="s">
        <v>18</v>
      </c>
      <c r="H1642" s="3" t="s">
        <v>100</v>
      </c>
      <c r="I1642" s="3" t="s">
        <v>101</v>
      </c>
      <c r="J1642" s="3" t="s">
        <v>195</v>
      </c>
      <c r="K1642" s="3" t="s">
        <v>1228</v>
      </c>
      <c r="L1642" s="4">
        <v>0.41666666666666669</v>
      </c>
      <c r="M1642" s="3" t="s">
        <v>1445</v>
      </c>
      <c r="N1642" s="3" t="s">
        <v>24</v>
      </c>
      <c r="O1642" s="3" t="s">
        <v>25</v>
      </c>
    </row>
    <row r="1643" spans="1:15">
      <c r="A1643" s="3" t="s">
        <v>15</v>
      </c>
      <c r="B1643" s="3" t="str">
        <f>"FES1162741545"</f>
        <v>FES1162741545</v>
      </c>
      <c r="C1643" s="3" t="s">
        <v>1190</v>
      </c>
      <c r="D1643" s="3">
        <v>1</v>
      </c>
      <c r="E1643" s="3" t="str">
        <f>"2170732748"</f>
        <v>2170732748</v>
      </c>
      <c r="F1643" s="3" t="s">
        <v>17</v>
      </c>
      <c r="G1643" s="3" t="s">
        <v>18</v>
      </c>
      <c r="H1643" s="3" t="s">
        <v>36</v>
      </c>
      <c r="I1643" s="3" t="s">
        <v>37</v>
      </c>
      <c r="J1643" s="3" t="s">
        <v>801</v>
      </c>
      <c r="K1643" s="3" t="s">
        <v>1228</v>
      </c>
      <c r="L1643" s="4">
        <v>0.38055555555555554</v>
      </c>
      <c r="M1643" s="3" t="s">
        <v>1506</v>
      </c>
      <c r="N1643" s="3" t="s">
        <v>24</v>
      </c>
      <c r="O1643" s="3" t="s">
        <v>25</v>
      </c>
    </row>
    <row r="1644" spans="1:15">
      <c r="A1644" s="3" t="s">
        <v>15</v>
      </c>
      <c r="B1644" s="3" t="str">
        <f>"FES1162741523"</f>
        <v>FES1162741523</v>
      </c>
      <c r="C1644" s="3" t="s">
        <v>1190</v>
      </c>
      <c r="D1644" s="3">
        <v>1</v>
      </c>
      <c r="E1644" s="3" t="str">
        <f>"2170733079"</f>
        <v>2170733079</v>
      </c>
      <c r="F1644" s="3" t="s">
        <v>17</v>
      </c>
      <c r="G1644" s="3" t="s">
        <v>18</v>
      </c>
      <c r="H1644" s="3" t="s">
        <v>36</v>
      </c>
      <c r="I1644" s="3" t="s">
        <v>37</v>
      </c>
      <c r="J1644" s="3" t="s">
        <v>801</v>
      </c>
      <c r="K1644" s="3" t="s">
        <v>1228</v>
      </c>
      <c r="L1644" s="4">
        <v>0.38055555555555554</v>
      </c>
      <c r="M1644" s="3" t="s">
        <v>1506</v>
      </c>
      <c r="N1644" s="3" t="s">
        <v>24</v>
      </c>
      <c r="O1644" s="3" t="s">
        <v>25</v>
      </c>
    </row>
    <row r="1645" spans="1:15">
      <c r="A1645" s="3" t="s">
        <v>15</v>
      </c>
      <c r="B1645" s="3" t="str">
        <f>"RFES1162740587"</f>
        <v>RFES1162740587</v>
      </c>
      <c r="C1645" s="3" t="s">
        <v>1190</v>
      </c>
      <c r="D1645" s="3">
        <v>1</v>
      </c>
      <c r="E1645" s="3" t="str">
        <f>"2170730294"</f>
        <v>2170730294</v>
      </c>
      <c r="F1645" s="3" t="s">
        <v>17</v>
      </c>
      <c r="G1645" s="3" t="s">
        <v>18</v>
      </c>
      <c r="H1645" s="3" t="s">
        <v>18</v>
      </c>
      <c r="I1645" s="3" t="s">
        <v>29</v>
      </c>
      <c r="J1645" s="3" t="s">
        <v>30</v>
      </c>
      <c r="K1645" s="3" t="s">
        <v>1228</v>
      </c>
      <c r="L1645" s="4">
        <v>0.3347222222222222</v>
      </c>
      <c r="M1645" s="3" t="s">
        <v>1432</v>
      </c>
      <c r="N1645" s="3" t="s">
        <v>24</v>
      </c>
      <c r="O1645" s="3" t="s">
        <v>25</v>
      </c>
    </row>
    <row r="1646" spans="1:15">
      <c r="A1646" s="3" t="s">
        <v>15</v>
      </c>
      <c r="B1646" s="3" t="str">
        <f>"019911311228"</f>
        <v>019911311228</v>
      </c>
      <c r="C1646" s="3" t="s">
        <v>1190</v>
      </c>
      <c r="D1646" s="3">
        <v>1</v>
      </c>
      <c r="E1646" s="3" t="str">
        <f>"1703"</f>
        <v>1703</v>
      </c>
      <c r="F1646" s="3" t="s">
        <v>528</v>
      </c>
      <c r="G1646" s="3" t="s">
        <v>100</v>
      </c>
      <c r="H1646" s="3" t="s">
        <v>948</v>
      </c>
      <c r="I1646" s="3" t="s">
        <v>29</v>
      </c>
      <c r="J1646" s="3" t="s">
        <v>529</v>
      </c>
      <c r="K1646" s="3" t="s">
        <v>1228</v>
      </c>
      <c r="L1646" s="4">
        <v>0.3347222222222222</v>
      </c>
      <c r="M1646" s="3" t="s">
        <v>1507</v>
      </c>
      <c r="N1646" s="3" t="s">
        <v>24</v>
      </c>
      <c r="O1646" s="3" t="s">
        <v>25</v>
      </c>
    </row>
    <row r="1647" spans="1:15">
      <c r="A1647" s="3" t="s">
        <v>15</v>
      </c>
      <c r="B1647" s="3" t="str">
        <f>"FES1162741559"</f>
        <v>FES1162741559</v>
      </c>
      <c r="C1647" s="3" t="s">
        <v>1190</v>
      </c>
      <c r="D1647" s="3">
        <v>1</v>
      </c>
      <c r="E1647" s="3" t="str">
        <f>"2170733093"</f>
        <v>2170733093</v>
      </c>
      <c r="F1647" s="3" t="s">
        <v>17</v>
      </c>
      <c r="G1647" s="3" t="s">
        <v>18</v>
      </c>
      <c r="H1647" s="3" t="s">
        <v>46</v>
      </c>
      <c r="I1647" s="3" t="s">
        <v>47</v>
      </c>
      <c r="J1647" s="3" t="s">
        <v>48</v>
      </c>
      <c r="K1647" s="3" t="s">
        <v>1228</v>
      </c>
      <c r="L1647" s="4">
        <v>0.43541666666666662</v>
      </c>
      <c r="M1647" s="3" t="s">
        <v>1508</v>
      </c>
      <c r="N1647" s="3" t="s">
        <v>24</v>
      </c>
      <c r="O1647" s="3" t="s">
        <v>25</v>
      </c>
    </row>
    <row r="1648" spans="1:15">
      <c r="A1648" s="3" t="s">
        <v>15</v>
      </c>
      <c r="B1648" s="3" t="str">
        <f>"FES1162741525"</f>
        <v>FES1162741525</v>
      </c>
      <c r="C1648" s="3" t="s">
        <v>1190</v>
      </c>
      <c r="D1648" s="3">
        <v>1</v>
      </c>
      <c r="E1648" s="3" t="str">
        <f>"2170733080"</f>
        <v>2170733080</v>
      </c>
      <c r="F1648" s="3" t="s">
        <v>17</v>
      </c>
      <c r="G1648" s="3" t="s">
        <v>18</v>
      </c>
      <c r="H1648" s="3" t="s">
        <v>100</v>
      </c>
      <c r="I1648" s="3" t="s">
        <v>117</v>
      </c>
      <c r="J1648" s="3" t="s">
        <v>285</v>
      </c>
      <c r="K1648" s="3" t="s">
        <v>1228</v>
      </c>
      <c r="L1648" s="4">
        <v>0.4694444444444445</v>
      </c>
      <c r="M1648" s="3" t="s">
        <v>1426</v>
      </c>
      <c r="N1648" s="3" t="s">
        <v>24</v>
      </c>
      <c r="O1648" s="3" t="s">
        <v>25</v>
      </c>
    </row>
    <row r="1649" spans="1:15">
      <c r="A1649" s="3" t="s">
        <v>15</v>
      </c>
      <c r="B1649" s="3" t="str">
        <f>"FES1162741537"</f>
        <v>FES1162741537</v>
      </c>
      <c r="C1649" s="3" t="s">
        <v>1190</v>
      </c>
      <c r="D1649" s="3">
        <v>1</v>
      </c>
      <c r="E1649" s="3" t="str">
        <f>"2170732260"</f>
        <v>2170732260</v>
      </c>
      <c r="F1649" s="3" t="s">
        <v>17</v>
      </c>
      <c r="G1649" s="3" t="s">
        <v>18</v>
      </c>
      <c r="H1649" s="3" t="s">
        <v>100</v>
      </c>
      <c r="I1649" s="3" t="s">
        <v>101</v>
      </c>
      <c r="J1649" s="3" t="s">
        <v>894</v>
      </c>
      <c r="K1649" s="3" t="s">
        <v>1228</v>
      </c>
      <c r="L1649" s="4">
        <v>0.3833333333333333</v>
      </c>
      <c r="M1649" s="3" t="s">
        <v>1509</v>
      </c>
      <c r="N1649" s="3" t="s">
        <v>24</v>
      </c>
      <c r="O1649" s="3" t="s">
        <v>25</v>
      </c>
    </row>
    <row r="1650" spans="1:15">
      <c r="A1650" s="3" t="s">
        <v>15</v>
      </c>
      <c r="B1650" s="3" t="str">
        <f>"FES1162741527"</f>
        <v>FES1162741527</v>
      </c>
      <c r="C1650" s="3" t="s">
        <v>1190</v>
      </c>
      <c r="D1650" s="3">
        <v>1</v>
      </c>
      <c r="E1650" s="3" t="str">
        <f>"2170732775"</f>
        <v>2170732775</v>
      </c>
      <c r="F1650" s="3" t="s">
        <v>17</v>
      </c>
      <c r="G1650" s="3" t="s">
        <v>18</v>
      </c>
      <c r="H1650" s="3" t="s">
        <v>100</v>
      </c>
      <c r="I1650" s="3" t="s">
        <v>101</v>
      </c>
      <c r="J1650" s="3" t="s">
        <v>265</v>
      </c>
      <c r="K1650" s="3" t="s">
        <v>1228</v>
      </c>
      <c r="L1650" s="4">
        <v>0.4375</v>
      </c>
      <c r="M1650" s="3" t="s">
        <v>1510</v>
      </c>
      <c r="N1650" s="3" t="s">
        <v>24</v>
      </c>
      <c r="O1650" s="3" t="s">
        <v>25</v>
      </c>
    </row>
    <row r="1651" spans="1:15">
      <c r="A1651" s="3" t="s">
        <v>15</v>
      </c>
      <c r="B1651" s="3" t="str">
        <f>"FES1162741551"</f>
        <v>FES1162741551</v>
      </c>
      <c r="C1651" s="3" t="s">
        <v>1190</v>
      </c>
      <c r="D1651" s="3">
        <v>1</v>
      </c>
      <c r="E1651" s="3" t="str">
        <f>"2170733027"</f>
        <v>2170733027</v>
      </c>
      <c r="F1651" s="3" t="s">
        <v>17</v>
      </c>
      <c r="G1651" s="3" t="s">
        <v>18</v>
      </c>
      <c r="H1651" s="3" t="s">
        <v>100</v>
      </c>
      <c r="I1651" s="3" t="s">
        <v>101</v>
      </c>
      <c r="J1651" s="3" t="s">
        <v>1466</v>
      </c>
      <c r="K1651" s="3" t="s">
        <v>1228</v>
      </c>
      <c r="L1651" s="4">
        <v>0.37222222222222223</v>
      </c>
      <c r="M1651" s="3" t="s">
        <v>1467</v>
      </c>
      <c r="N1651" s="3" t="s">
        <v>24</v>
      </c>
      <c r="O1651" s="3" t="s">
        <v>25</v>
      </c>
    </row>
    <row r="1652" spans="1:15">
      <c r="A1652" s="3" t="s">
        <v>15</v>
      </c>
      <c r="B1652" s="3" t="str">
        <f>"FES1162741510"</f>
        <v>FES1162741510</v>
      </c>
      <c r="C1652" s="3" t="s">
        <v>1190</v>
      </c>
      <c r="D1652" s="3">
        <v>1</v>
      </c>
      <c r="E1652" s="3" t="str">
        <f>"2170733061"</f>
        <v>2170733061</v>
      </c>
      <c r="F1652" s="3" t="s">
        <v>17</v>
      </c>
      <c r="G1652" s="3" t="s">
        <v>18</v>
      </c>
      <c r="H1652" s="3" t="s">
        <v>18</v>
      </c>
      <c r="I1652" s="3" t="s">
        <v>222</v>
      </c>
      <c r="J1652" s="3" t="s">
        <v>716</v>
      </c>
      <c r="K1652" s="3" t="s">
        <v>1228</v>
      </c>
      <c r="L1652" s="4">
        <v>0.33333333333333331</v>
      </c>
      <c r="M1652" s="3" t="s">
        <v>1511</v>
      </c>
      <c r="N1652" s="3" t="s">
        <v>24</v>
      </c>
      <c r="O1652" s="3" t="s">
        <v>25</v>
      </c>
    </row>
    <row r="1653" spans="1:15">
      <c r="A1653" s="3" t="s">
        <v>15</v>
      </c>
      <c r="B1653" s="3" t="str">
        <f>"FES1162741489"</f>
        <v>FES1162741489</v>
      </c>
      <c r="C1653" s="3" t="s">
        <v>1190</v>
      </c>
      <c r="D1653" s="3">
        <v>1</v>
      </c>
      <c r="E1653" s="3" t="str">
        <f>"2170733022"</f>
        <v>2170733022</v>
      </c>
      <c r="F1653" s="3" t="s">
        <v>17</v>
      </c>
      <c r="G1653" s="3" t="s">
        <v>18</v>
      </c>
      <c r="H1653" s="3" t="s">
        <v>18</v>
      </c>
      <c r="I1653" s="3" t="s">
        <v>33</v>
      </c>
      <c r="J1653" s="3" t="s">
        <v>1512</v>
      </c>
      <c r="K1653" s="3" t="s">
        <v>1228</v>
      </c>
      <c r="L1653" s="4">
        <v>0.35833333333333334</v>
      </c>
      <c r="M1653" s="3" t="s">
        <v>1513</v>
      </c>
      <c r="N1653" s="3" t="s">
        <v>24</v>
      </c>
      <c r="O1653" s="3" t="s">
        <v>25</v>
      </c>
    </row>
    <row r="1654" spans="1:15">
      <c r="A1654" s="3" t="s">
        <v>15</v>
      </c>
      <c r="B1654" s="3" t="str">
        <f>"FES1162741505"</f>
        <v>FES1162741505</v>
      </c>
      <c r="C1654" s="3" t="s">
        <v>1190</v>
      </c>
      <c r="D1654" s="3">
        <v>1</v>
      </c>
      <c r="E1654" s="3" t="str">
        <f>"2170733055"</f>
        <v>2170733055</v>
      </c>
      <c r="F1654" s="3" t="s">
        <v>17</v>
      </c>
      <c r="G1654" s="3" t="s">
        <v>18</v>
      </c>
      <c r="H1654" s="3" t="s">
        <v>18</v>
      </c>
      <c r="I1654" s="3" t="s">
        <v>291</v>
      </c>
      <c r="J1654" s="3" t="s">
        <v>1514</v>
      </c>
      <c r="K1654" s="3" t="s">
        <v>1228</v>
      </c>
      <c r="L1654" s="4">
        <v>0.41666666666666669</v>
      </c>
      <c r="M1654" s="3" t="s">
        <v>626</v>
      </c>
      <c r="N1654" s="3" t="s">
        <v>24</v>
      </c>
      <c r="O1654" s="3" t="s">
        <v>25</v>
      </c>
    </row>
    <row r="1655" spans="1:15">
      <c r="A1655" s="3" t="s">
        <v>15</v>
      </c>
      <c r="B1655" s="3" t="str">
        <f>"FES1162741569"</f>
        <v>FES1162741569</v>
      </c>
      <c r="C1655" s="3" t="s">
        <v>1190</v>
      </c>
      <c r="D1655" s="3">
        <v>1</v>
      </c>
      <c r="E1655" s="3" t="str">
        <f>"2170733017"</f>
        <v>2170733017</v>
      </c>
      <c r="F1655" s="3" t="s">
        <v>17</v>
      </c>
      <c r="G1655" s="3" t="s">
        <v>18</v>
      </c>
      <c r="H1655" s="3" t="s">
        <v>100</v>
      </c>
      <c r="I1655" s="3" t="s">
        <v>101</v>
      </c>
      <c r="J1655" s="3" t="s">
        <v>318</v>
      </c>
      <c r="K1655" s="3" t="s">
        <v>1228</v>
      </c>
      <c r="L1655" s="4">
        <v>0.41666666666666669</v>
      </c>
      <c r="M1655" s="3" t="s">
        <v>1503</v>
      </c>
      <c r="N1655" s="3" t="s">
        <v>24</v>
      </c>
      <c r="O1655" s="3" t="s">
        <v>25</v>
      </c>
    </row>
    <row r="1656" spans="1:15">
      <c r="A1656" s="3" t="s">
        <v>15</v>
      </c>
      <c r="B1656" s="3" t="str">
        <f>"FES1162741534"</f>
        <v>FES1162741534</v>
      </c>
      <c r="C1656" s="3" t="s">
        <v>1190</v>
      </c>
      <c r="D1656" s="3">
        <v>1</v>
      </c>
      <c r="E1656" s="3" t="str">
        <f>"2170731824"</f>
        <v>2170731824</v>
      </c>
      <c r="F1656" s="3" t="s">
        <v>17</v>
      </c>
      <c r="G1656" s="3" t="s">
        <v>18</v>
      </c>
      <c r="H1656" s="3" t="s">
        <v>100</v>
      </c>
      <c r="I1656" s="3" t="s">
        <v>101</v>
      </c>
      <c r="J1656" s="3" t="s">
        <v>894</v>
      </c>
      <c r="K1656" s="3" t="s">
        <v>1228</v>
      </c>
      <c r="L1656" s="4">
        <v>0.3840277777777778</v>
      </c>
      <c r="M1656" s="3" t="s">
        <v>1509</v>
      </c>
      <c r="N1656" s="3" t="s">
        <v>24</v>
      </c>
      <c r="O1656" s="3" t="s">
        <v>25</v>
      </c>
    </row>
    <row r="1657" spans="1:15">
      <c r="A1657" s="3" t="s">
        <v>15</v>
      </c>
      <c r="B1657" s="3" t="str">
        <f>"FES1162741473"</f>
        <v>FES1162741473</v>
      </c>
      <c r="C1657" s="3" t="s">
        <v>1190</v>
      </c>
      <c r="D1657" s="3">
        <v>1</v>
      </c>
      <c r="E1657" s="3" t="str">
        <f>"2170733021"</f>
        <v>2170733021</v>
      </c>
      <c r="F1657" s="3" t="s">
        <v>17</v>
      </c>
      <c r="G1657" s="3" t="s">
        <v>18</v>
      </c>
      <c r="H1657" s="3" t="s">
        <v>18</v>
      </c>
      <c r="I1657" s="3" t="s">
        <v>26</v>
      </c>
      <c r="J1657" s="3" t="s">
        <v>227</v>
      </c>
      <c r="K1657" s="3" t="s">
        <v>1228</v>
      </c>
      <c r="L1657" s="4">
        <v>0.375</v>
      </c>
      <c r="M1657" s="3" t="s">
        <v>268</v>
      </c>
      <c r="N1657" s="3" t="s">
        <v>24</v>
      </c>
      <c r="O1657" s="3" t="s">
        <v>25</v>
      </c>
    </row>
    <row r="1658" spans="1:15">
      <c r="A1658" s="3" t="s">
        <v>15</v>
      </c>
      <c r="B1658" s="3" t="str">
        <f>"FES1162741555"</f>
        <v>FES1162741555</v>
      </c>
      <c r="C1658" s="3" t="s">
        <v>1190</v>
      </c>
      <c r="D1658" s="3">
        <v>1</v>
      </c>
      <c r="E1658" s="3" t="str">
        <f>"2170733086"</f>
        <v>2170733086</v>
      </c>
      <c r="F1658" s="3" t="s">
        <v>17</v>
      </c>
      <c r="G1658" s="3" t="s">
        <v>18</v>
      </c>
      <c r="H1658" s="3" t="s">
        <v>66</v>
      </c>
      <c r="I1658" s="3" t="s">
        <v>67</v>
      </c>
      <c r="J1658" s="3" t="s">
        <v>1515</v>
      </c>
      <c r="K1658" s="3" t="s">
        <v>1228</v>
      </c>
      <c r="L1658" s="4">
        <v>0.4236111111111111</v>
      </c>
      <c r="M1658" s="3" t="s">
        <v>1516</v>
      </c>
      <c r="N1658" s="3" t="s">
        <v>24</v>
      </c>
      <c r="O1658" s="3" t="s">
        <v>25</v>
      </c>
    </row>
    <row r="1659" spans="1:15">
      <c r="A1659" s="3" t="s">
        <v>15</v>
      </c>
      <c r="B1659" s="3" t="str">
        <f>"FES1162741554"</f>
        <v>FES1162741554</v>
      </c>
      <c r="C1659" s="3" t="s">
        <v>1190</v>
      </c>
      <c r="D1659" s="3">
        <v>1</v>
      </c>
      <c r="E1659" s="3" t="str">
        <f>"2170733084"</f>
        <v>2170733084</v>
      </c>
      <c r="F1659" s="3" t="s">
        <v>17</v>
      </c>
      <c r="G1659" s="3" t="s">
        <v>18</v>
      </c>
      <c r="H1659" s="3" t="s">
        <v>100</v>
      </c>
      <c r="I1659" s="3" t="s">
        <v>101</v>
      </c>
      <c r="J1659" s="3" t="s">
        <v>265</v>
      </c>
      <c r="K1659" s="3" t="s">
        <v>1228</v>
      </c>
      <c r="L1659" s="4">
        <v>0.4375</v>
      </c>
      <c r="M1659" s="3" t="s">
        <v>1510</v>
      </c>
      <c r="N1659" s="3" t="s">
        <v>24</v>
      </c>
      <c r="O1659" s="3" t="s">
        <v>25</v>
      </c>
    </row>
    <row r="1660" spans="1:15">
      <c r="A1660" s="3" t="s">
        <v>15</v>
      </c>
      <c r="B1660" s="3" t="str">
        <f>"FES1162741533"</f>
        <v>FES1162741533</v>
      </c>
      <c r="C1660" s="3" t="s">
        <v>1190</v>
      </c>
      <c r="D1660" s="3">
        <v>1</v>
      </c>
      <c r="E1660" s="3" t="str">
        <f>"2170731822"</f>
        <v>2170731822</v>
      </c>
      <c r="F1660" s="3" t="s">
        <v>17</v>
      </c>
      <c r="G1660" s="3" t="s">
        <v>18</v>
      </c>
      <c r="H1660" s="3" t="s">
        <v>100</v>
      </c>
      <c r="I1660" s="3" t="s">
        <v>101</v>
      </c>
      <c r="J1660" s="3" t="s">
        <v>789</v>
      </c>
      <c r="K1660" s="3" t="s">
        <v>1228</v>
      </c>
      <c r="L1660" s="4">
        <v>0.41666666666666669</v>
      </c>
      <c r="M1660" s="3" t="s">
        <v>1517</v>
      </c>
      <c r="N1660" s="3" t="s">
        <v>24</v>
      </c>
      <c r="O1660" s="3" t="s">
        <v>25</v>
      </c>
    </row>
    <row r="1661" spans="1:15">
      <c r="A1661" s="3" t="s">
        <v>15</v>
      </c>
      <c r="B1661" s="3" t="str">
        <f>"FES1162741470"</f>
        <v>FES1162741470</v>
      </c>
      <c r="C1661" s="3" t="s">
        <v>1190</v>
      </c>
      <c r="D1661" s="3">
        <v>1</v>
      </c>
      <c r="E1661" s="3" t="str">
        <f>"2170733017"</f>
        <v>2170733017</v>
      </c>
      <c r="F1661" s="3" t="s">
        <v>17</v>
      </c>
      <c r="G1661" s="3" t="s">
        <v>18</v>
      </c>
      <c r="H1661" s="3" t="s">
        <v>18</v>
      </c>
      <c r="I1661" s="3" t="s">
        <v>206</v>
      </c>
      <c r="J1661" s="3" t="s">
        <v>207</v>
      </c>
      <c r="K1661" s="3" t="s">
        <v>1228</v>
      </c>
      <c r="L1661" s="4">
        <v>0.33333333333333331</v>
      </c>
      <c r="M1661" s="3" t="s">
        <v>1433</v>
      </c>
      <c r="N1661" s="3" t="s">
        <v>24</v>
      </c>
      <c r="O1661" s="3" t="s">
        <v>25</v>
      </c>
    </row>
    <row r="1662" spans="1:15">
      <c r="A1662" s="3" t="s">
        <v>15</v>
      </c>
      <c r="B1662" s="3" t="str">
        <f>"FES1162741301"</f>
        <v>FES1162741301</v>
      </c>
      <c r="C1662" s="3" t="s">
        <v>1190</v>
      </c>
      <c r="D1662" s="3">
        <v>2</v>
      </c>
      <c r="E1662" s="3" t="str">
        <f>"2170732924"</f>
        <v>2170732924</v>
      </c>
      <c r="F1662" s="3" t="s">
        <v>17</v>
      </c>
      <c r="G1662" s="3" t="s">
        <v>18</v>
      </c>
      <c r="H1662" s="3" t="s">
        <v>1518</v>
      </c>
      <c r="I1662" s="3" t="s">
        <v>1519</v>
      </c>
      <c r="J1662" s="3" t="s">
        <v>1520</v>
      </c>
      <c r="K1662" s="3" t="s">
        <v>1228</v>
      </c>
      <c r="L1662" s="4">
        <v>0.43124999999999997</v>
      </c>
      <c r="M1662" s="3" t="s">
        <v>160</v>
      </c>
      <c r="N1662" s="3" t="s">
        <v>24</v>
      </c>
      <c r="O1662" s="3" t="s">
        <v>25</v>
      </c>
    </row>
    <row r="1663" spans="1:15">
      <c r="A1663" s="3" t="s">
        <v>15</v>
      </c>
      <c r="B1663" s="3" t="str">
        <f>"FES1162741579"</f>
        <v>FES1162741579</v>
      </c>
      <c r="C1663" s="3" t="s">
        <v>1190</v>
      </c>
      <c r="D1663" s="3">
        <v>1</v>
      </c>
      <c r="E1663" s="3" t="str">
        <f>"2170733113"</f>
        <v>2170733113</v>
      </c>
      <c r="F1663" s="3" t="s">
        <v>17</v>
      </c>
      <c r="G1663" s="3" t="s">
        <v>18</v>
      </c>
      <c r="H1663" s="3" t="s">
        <v>46</v>
      </c>
      <c r="I1663" s="3" t="s">
        <v>744</v>
      </c>
      <c r="J1663" s="3" t="s">
        <v>745</v>
      </c>
      <c r="K1663" s="3" t="s">
        <v>1228</v>
      </c>
      <c r="L1663" s="4">
        <v>0.43124999999999997</v>
      </c>
      <c r="M1663" s="3" t="s">
        <v>746</v>
      </c>
      <c r="N1663" s="3" t="s">
        <v>24</v>
      </c>
      <c r="O1663" s="3" t="s">
        <v>25</v>
      </c>
    </row>
    <row r="1664" spans="1:15">
      <c r="A1664" s="3" t="s">
        <v>15</v>
      </c>
      <c r="B1664" s="3" t="str">
        <f>"FES1162741549"</f>
        <v>FES1162741549</v>
      </c>
      <c r="C1664" s="3" t="s">
        <v>1190</v>
      </c>
      <c r="D1664" s="3">
        <v>1</v>
      </c>
      <c r="E1664" s="3" t="str">
        <f>"2170732835"</f>
        <v>2170732835</v>
      </c>
      <c r="F1664" s="3" t="s">
        <v>17</v>
      </c>
      <c r="G1664" s="3" t="s">
        <v>18</v>
      </c>
      <c r="H1664" s="3" t="s">
        <v>66</v>
      </c>
      <c r="I1664" s="3" t="s">
        <v>67</v>
      </c>
      <c r="J1664" s="3" t="s">
        <v>644</v>
      </c>
      <c r="K1664" s="3" t="s">
        <v>1228</v>
      </c>
      <c r="L1664" s="4">
        <v>0.3888888888888889</v>
      </c>
      <c r="M1664" s="3" t="s">
        <v>1521</v>
      </c>
      <c r="N1664" s="3" t="s">
        <v>24</v>
      </c>
      <c r="O1664" s="3" t="s">
        <v>25</v>
      </c>
    </row>
    <row r="1665" spans="1:15">
      <c r="A1665" s="3" t="s">
        <v>15</v>
      </c>
      <c r="B1665" s="3" t="str">
        <f>"FES1162741542"</f>
        <v>FES1162741542</v>
      </c>
      <c r="C1665" s="3" t="s">
        <v>1190</v>
      </c>
      <c r="D1665" s="3">
        <v>1</v>
      </c>
      <c r="E1665" s="3" t="str">
        <f>"2170732535"</f>
        <v>2170732535</v>
      </c>
      <c r="F1665" s="3" t="s">
        <v>17</v>
      </c>
      <c r="G1665" s="3" t="s">
        <v>18</v>
      </c>
      <c r="H1665" s="3" t="s">
        <v>66</v>
      </c>
      <c r="I1665" s="3" t="s">
        <v>67</v>
      </c>
      <c r="J1665" s="3" t="s">
        <v>278</v>
      </c>
      <c r="K1665" s="3" t="s">
        <v>1228</v>
      </c>
      <c r="L1665" s="4">
        <v>0.39583333333333331</v>
      </c>
      <c r="M1665" s="3" t="s">
        <v>1522</v>
      </c>
      <c r="N1665" s="3" t="s">
        <v>24</v>
      </c>
      <c r="O1665" s="3" t="s">
        <v>25</v>
      </c>
    </row>
    <row r="1666" spans="1:15">
      <c r="A1666" s="3" t="s">
        <v>15</v>
      </c>
      <c r="B1666" s="3" t="str">
        <f>"FES1162741396"</f>
        <v>FES1162741396</v>
      </c>
      <c r="C1666" s="3" t="s">
        <v>1190</v>
      </c>
      <c r="D1666" s="3">
        <v>1</v>
      </c>
      <c r="E1666" s="3" t="str">
        <f>"2170731445"</f>
        <v>2170731445</v>
      </c>
      <c r="F1666" s="3" t="s">
        <v>17</v>
      </c>
      <c r="G1666" s="3" t="s">
        <v>18</v>
      </c>
      <c r="H1666" s="3" t="s">
        <v>18</v>
      </c>
      <c r="I1666" s="3" t="s">
        <v>313</v>
      </c>
      <c r="J1666" s="3" t="s">
        <v>572</v>
      </c>
      <c r="K1666" s="3" t="s">
        <v>1228</v>
      </c>
      <c r="L1666" s="4">
        <v>0.43402777777777773</v>
      </c>
      <c r="M1666" s="3" t="s">
        <v>1334</v>
      </c>
      <c r="N1666" s="3" t="s">
        <v>24</v>
      </c>
      <c r="O1666" s="3" t="s">
        <v>25</v>
      </c>
    </row>
    <row r="1667" spans="1:15">
      <c r="A1667" s="3" t="s">
        <v>15</v>
      </c>
      <c r="B1667" s="3" t="str">
        <f>"FES1162741568"</f>
        <v>FES1162741568</v>
      </c>
      <c r="C1667" s="3" t="s">
        <v>1190</v>
      </c>
      <c r="D1667" s="3">
        <v>1</v>
      </c>
      <c r="E1667" s="3" t="str">
        <f>"2170733104"</f>
        <v>2170733104</v>
      </c>
      <c r="F1667" s="3" t="s">
        <v>17</v>
      </c>
      <c r="G1667" s="3" t="s">
        <v>18</v>
      </c>
      <c r="H1667" s="3" t="s">
        <v>36</v>
      </c>
      <c r="I1667" s="3" t="s">
        <v>37</v>
      </c>
      <c r="J1667" s="3" t="s">
        <v>260</v>
      </c>
      <c r="K1667" s="3" t="s">
        <v>1228</v>
      </c>
      <c r="L1667" s="4">
        <v>0.36319444444444443</v>
      </c>
      <c r="M1667" s="3" t="s">
        <v>788</v>
      </c>
      <c r="N1667" s="3" t="s">
        <v>24</v>
      </c>
      <c r="O1667" s="3" t="s">
        <v>25</v>
      </c>
    </row>
    <row r="1668" spans="1:15">
      <c r="A1668" s="3" t="s">
        <v>15</v>
      </c>
      <c r="B1668" s="3" t="str">
        <f>"FES1162741557"</f>
        <v>FES1162741557</v>
      </c>
      <c r="C1668" s="3" t="s">
        <v>1190</v>
      </c>
      <c r="D1668" s="3">
        <v>1</v>
      </c>
      <c r="E1668" s="3" t="str">
        <f>"2170733092"</f>
        <v>2170733092</v>
      </c>
      <c r="F1668" s="3" t="s">
        <v>17</v>
      </c>
      <c r="G1668" s="3" t="s">
        <v>18</v>
      </c>
      <c r="H1668" s="3" t="s">
        <v>366</v>
      </c>
      <c r="I1668" s="3" t="s">
        <v>67</v>
      </c>
      <c r="J1668" s="3" t="s">
        <v>1523</v>
      </c>
      <c r="K1668" s="3" t="s">
        <v>1228</v>
      </c>
      <c r="L1668" s="4">
        <v>0.42638888888888887</v>
      </c>
      <c r="M1668" s="3" t="s">
        <v>1524</v>
      </c>
      <c r="N1668" s="3" t="s">
        <v>24</v>
      </c>
      <c r="O1668" s="3" t="s">
        <v>25</v>
      </c>
    </row>
    <row r="1669" spans="1:15">
      <c r="A1669" s="3" t="s">
        <v>15</v>
      </c>
      <c r="B1669" s="3" t="str">
        <f>"FES1162741562"</f>
        <v>FES1162741562</v>
      </c>
      <c r="C1669" s="3" t="s">
        <v>1190</v>
      </c>
      <c r="D1669" s="3">
        <v>1</v>
      </c>
      <c r="E1669" s="3" t="str">
        <f>"2170733098"</f>
        <v>2170733098</v>
      </c>
      <c r="F1669" s="3" t="s">
        <v>17</v>
      </c>
      <c r="G1669" s="3" t="s">
        <v>18</v>
      </c>
      <c r="H1669" s="3" t="s">
        <v>66</v>
      </c>
      <c r="I1669" s="3" t="s">
        <v>67</v>
      </c>
      <c r="J1669" s="3" t="s">
        <v>138</v>
      </c>
      <c r="K1669" s="3" t="s">
        <v>1228</v>
      </c>
      <c r="L1669" s="4">
        <v>0.40486111111111112</v>
      </c>
      <c r="M1669" s="3" t="s">
        <v>1525</v>
      </c>
      <c r="N1669" s="3" t="s">
        <v>24</v>
      </c>
      <c r="O1669" s="3" t="s">
        <v>25</v>
      </c>
    </row>
    <row r="1670" spans="1:15">
      <c r="A1670" s="3" t="s">
        <v>15</v>
      </c>
      <c r="B1670" s="3" t="str">
        <f>"FES1162741492"</f>
        <v>FES1162741492</v>
      </c>
      <c r="C1670" s="3" t="s">
        <v>1190</v>
      </c>
      <c r="D1670" s="3">
        <v>1</v>
      </c>
      <c r="E1670" s="3" t="str">
        <f>"2170733041"</f>
        <v>2170733041</v>
      </c>
      <c r="F1670" s="3" t="s">
        <v>17</v>
      </c>
      <c r="G1670" s="3" t="s">
        <v>18</v>
      </c>
      <c r="H1670" s="3" t="s">
        <v>18</v>
      </c>
      <c r="I1670" s="3" t="s">
        <v>29</v>
      </c>
      <c r="J1670" s="3" t="s">
        <v>1526</v>
      </c>
      <c r="K1670" s="3" t="s">
        <v>1228</v>
      </c>
      <c r="L1670" s="4">
        <v>0.3923611111111111</v>
      </c>
      <c r="M1670" s="3" t="s">
        <v>1527</v>
      </c>
      <c r="N1670" s="3" t="s">
        <v>24</v>
      </c>
      <c r="O1670" s="3" t="s">
        <v>25</v>
      </c>
    </row>
    <row r="1671" spans="1:15">
      <c r="A1671" s="3" t="s">
        <v>15</v>
      </c>
      <c r="B1671" s="3" t="str">
        <f>"FES1162741385"</f>
        <v>FES1162741385</v>
      </c>
      <c r="C1671" s="3" t="s">
        <v>1190</v>
      </c>
      <c r="D1671" s="3">
        <v>1</v>
      </c>
      <c r="E1671" s="3" t="str">
        <f>"2170731058"</f>
        <v>2170731058</v>
      </c>
      <c r="F1671" s="3" t="s">
        <v>17</v>
      </c>
      <c r="G1671" s="3" t="s">
        <v>18</v>
      </c>
      <c r="H1671" s="3" t="s">
        <v>18</v>
      </c>
      <c r="I1671" s="3" t="s">
        <v>29</v>
      </c>
      <c r="J1671" s="3" t="s">
        <v>1528</v>
      </c>
      <c r="K1671" s="3" t="s">
        <v>1228</v>
      </c>
      <c r="L1671" s="4">
        <v>0.35902777777777778</v>
      </c>
      <c r="M1671" s="3" t="s">
        <v>1529</v>
      </c>
      <c r="N1671" s="3" t="s">
        <v>24</v>
      </c>
      <c r="O1671" s="3" t="s">
        <v>25</v>
      </c>
    </row>
    <row r="1672" spans="1:15">
      <c r="A1672" s="3" t="s">
        <v>15</v>
      </c>
      <c r="B1672" s="3" t="str">
        <f>"FES1162741363"</f>
        <v>FES1162741363</v>
      </c>
      <c r="C1672" s="3" t="s">
        <v>1190</v>
      </c>
      <c r="D1672" s="3">
        <v>1</v>
      </c>
      <c r="E1672" s="3" t="str">
        <f>"2170730839"</f>
        <v>2170730839</v>
      </c>
      <c r="F1672" s="3" t="s">
        <v>17</v>
      </c>
      <c r="G1672" s="3" t="s">
        <v>18</v>
      </c>
      <c r="H1672" s="3" t="s">
        <v>18</v>
      </c>
      <c r="I1672" s="3" t="s">
        <v>180</v>
      </c>
      <c r="J1672" s="3" t="s">
        <v>1530</v>
      </c>
      <c r="K1672" s="3" t="s">
        <v>1228</v>
      </c>
      <c r="L1672" s="4">
        <v>0.40972222222222227</v>
      </c>
      <c r="M1672" s="3" t="s">
        <v>1531</v>
      </c>
      <c r="N1672" s="3" t="s">
        <v>24</v>
      </c>
      <c r="O1672" s="3" t="s">
        <v>25</v>
      </c>
    </row>
    <row r="1673" spans="1:15">
      <c r="A1673" s="3" t="s">
        <v>15</v>
      </c>
      <c r="B1673" s="3" t="str">
        <f>"FES1162741558"</f>
        <v>FES1162741558</v>
      </c>
      <c r="C1673" s="3" t="s">
        <v>1190</v>
      </c>
      <c r="D1673" s="3">
        <v>1</v>
      </c>
      <c r="E1673" s="3" t="str">
        <f>"2170732945"</f>
        <v>2170732945</v>
      </c>
      <c r="F1673" s="3" t="s">
        <v>17</v>
      </c>
      <c r="G1673" s="3" t="s">
        <v>18</v>
      </c>
      <c r="H1673" s="3" t="s">
        <v>18</v>
      </c>
      <c r="I1673" s="3" t="s">
        <v>151</v>
      </c>
      <c r="J1673" s="3" t="s">
        <v>1532</v>
      </c>
      <c r="K1673" s="3" t="s">
        <v>1228</v>
      </c>
      <c r="L1673" s="4">
        <v>0.4375</v>
      </c>
      <c r="M1673" s="3" t="s">
        <v>1533</v>
      </c>
      <c r="N1673" s="3" t="s">
        <v>24</v>
      </c>
      <c r="O1673" s="3" t="s">
        <v>25</v>
      </c>
    </row>
    <row r="1674" spans="1:15">
      <c r="A1674" s="3" t="s">
        <v>15</v>
      </c>
      <c r="B1674" s="3" t="str">
        <f>"FES1162741524"</f>
        <v>FES1162741524</v>
      </c>
      <c r="C1674" s="3" t="s">
        <v>1190</v>
      </c>
      <c r="D1674" s="3">
        <v>1</v>
      </c>
      <c r="E1674" s="3" t="str">
        <f>"2170731330"</f>
        <v>2170731330</v>
      </c>
      <c r="F1674" s="3" t="s">
        <v>17</v>
      </c>
      <c r="G1674" s="3" t="s">
        <v>18</v>
      </c>
      <c r="H1674" s="3" t="s">
        <v>18</v>
      </c>
      <c r="I1674" s="3" t="s">
        <v>151</v>
      </c>
      <c r="J1674" s="3" t="s">
        <v>556</v>
      </c>
      <c r="K1674" s="3" t="s">
        <v>1228</v>
      </c>
      <c r="L1674" s="4">
        <v>0.3298611111111111</v>
      </c>
      <c r="M1674" s="3" t="s">
        <v>557</v>
      </c>
      <c r="N1674" s="3" t="s">
        <v>24</v>
      </c>
      <c r="O1674" s="3" t="s">
        <v>25</v>
      </c>
    </row>
    <row r="1675" spans="1:15">
      <c r="A1675" s="3" t="s">
        <v>15</v>
      </c>
      <c r="B1675" s="3" t="str">
        <f>"FES1162741443"</f>
        <v>FES1162741443</v>
      </c>
      <c r="C1675" s="3" t="s">
        <v>1190</v>
      </c>
      <c r="D1675" s="3">
        <v>1</v>
      </c>
      <c r="E1675" s="3" t="str">
        <f>"2170732982"</f>
        <v>2170732982</v>
      </c>
      <c r="F1675" s="3" t="s">
        <v>17</v>
      </c>
      <c r="G1675" s="3" t="s">
        <v>18</v>
      </c>
      <c r="H1675" s="3" t="s">
        <v>18</v>
      </c>
      <c r="I1675" s="3" t="s">
        <v>151</v>
      </c>
      <c r="J1675" s="3" t="s">
        <v>546</v>
      </c>
      <c r="K1675" s="3" t="s">
        <v>1228</v>
      </c>
      <c r="L1675" s="4">
        <v>0.41666666666666669</v>
      </c>
      <c r="M1675" s="3" t="s">
        <v>547</v>
      </c>
      <c r="N1675" s="3" t="s">
        <v>24</v>
      </c>
      <c r="O1675" s="3" t="s">
        <v>25</v>
      </c>
    </row>
    <row r="1676" spans="1:15">
      <c r="A1676" s="3" t="s">
        <v>15</v>
      </c>
      <c r="B1676" s="3" t="str">
        <f>"FES1162741405"</f>
        <v>FES1162741405</v>
      </c>
      <c r="C1676" s="3" t="s">
        <v>1190</v>
      </c>
      <c r="D1676" s="3">
        <v>1</v>
      </c>
      <c r="E1676" s="3" t="str">
        <f>"2170732131"</f>
        <v>2170732131</v>
      </c>
      <c r="F1676" s="3" t="s">
        <v>17</v>
      </c>
      <c r="G1676" s="3" t="s">
        <v>18</v>
      </c>
      <c r="H1676" s="3" t="s">
        <v>18</v>
      </c>
      <c r="I1676" s="3" t="s">
        <v>180</v>
      </c>
      <c r="J1676" s="3" t="s">
        <v>405</v>
      </c>
      <c r="K1676" s="3" t="s">
        <v>1228</v>
      </c>
      <c r="L1676" s="4">
        <v>0.40277777777777773</v>
      </c>
      <c r="M1676" s="3" t="s">
        <v>1534</v>
      </c>
      <c r="N1676" s="3" t="s">
        <v>24</v>
      </c>
      <c r="O1676" s="3" t="s">
        <v>25</v>
      </c>
    </row>
    <row r="1677" spans="1:15">
      <c r="A1677" s="3" t="s">
        <v>15</v>
      </c>
      <c r="B1677" s="3" t="str">
        <f>"FES1162741586"</f>
        <v>FES1162741586</v>
      </c>
      <c r="C1677" s="3" t="s">
        <v>1190</v>
      </c>
      <c r="D1677" s="3">
        <v>1</v>
      </c>
      <c r="E1677" s="3" t="str">
        <f>"2170733122"</f>
        <v>2170733122</v>
      </c>
      <c r="F1677" s="3" t="s">
        <v>17</v>
      </c>
      <c r="G1677" s="3" t="s">
        <v>18</v>
      </c>
      <c r="H1677" s="3" t="s">
        <v>66</v>
      </c>
      <c r="I1677" s="3" t="s">
        <v>67</v>
      </c>
      <c r="J1677" s="3" t="s">
        <v>975</v>
      </c>
      <c r="K1677" s="3" t="s">
        <v>1228</v>
      </c>
      <c r="L1677" s="4">
        <v>0.33680555555555558</v>
      </c>
      <c r="M1677" s="3" t="s">
        <v>1535</v>
      </c>
      <c r="N1677" s="3" t="s">
        <v>24</v>
      </c>
      <c r="O1677" s="3" t="s">
        <v>25</v>
      </c>
    </row>
    <row r="1678" spans="1:15">
      <c r="A1678" s="3" t="s">
        <v>15</v>
      </c>
      <c r="B1678" s="3" t="str">
        <f>"FES1162741499"</f>
        <v>FES1162741499</v>
      </c>
      <c r="C1678" s="3" t="s">
        <v>1190</v>
      </c>
      <c r="D1678" s="3">
        <v>1</v>
      </c>
      <c r="E1678" s="3" t="str">
        <f>"2170727024"</f>
        <v>2170727024</v>
      </c>
      <c r="F1678" s="3" t="s">
        <v>17</v>
      </c>
      <c r="G1678" s="3" t="s">
        <v>18</v>
      </c>
      <c r="H1678" s="3" t="s">
        <v>18</v>
      </c>
      <c r="I1678" s="3" t="s">
        <v>525</v>
      </c>
      <c r="J1678" s="3" t="s">
        <v>1536</v>
      </c>
      <c r="K1678" s="3" t="s">
        <v>1228</v>
      </c>
      <c r="L1678" s="4">
        <v>0.38750000000000001</v>
      </c>
      <c r="M1678" s="3" t="s">
        <v>1537</v>
      </c>
      <c r="N1678" s="3" t="s">
        <v>24</v>
      </c>
      <c r="O1678" s="3" t="s">
        <v>25</v>
      </c>
    </row>
    <row r="1679" spans="1:15">
      <c r="A1679" s="3" t="s">
        <v>15</v>
      </c>
      <c r="B1679" s="3" t="str">
        <f>"FES1162741548"</f>
        <v>FES1162741548</v>
      </c>
      <c r="C1679" s="3" t="s">
        <v>1190</v>
      </c>
      <c r="D1679" s="3">
        <v>1</v>
      </c>
      <c r="E1679" s="3" t="str">
        <f>"2170732807"</f>
        <v>2170732807</v>
      </c>
      <c r="F1679" s="3" t="s">
        <v>17</v>
      </c>
      <c r="G1679" s="3" t="s">
        <v>18</v>
      </c>
      <c r="H1679" s="3" t="s">
        <v>19</v>
      </c>
      <c r="I1679" s="3" t="s">
        <v>51</v>
      </c>
      <c r="J1679" s="3" t="s">
        <v>52</v>
      </c>
      <c r="K1679" s="3" t="s">
        <v>1228</v>
      </c>
      <c r="L1679" s="4">
        <v>0.3215277777777778</v>
      </c>
      <c r="M1679" s="3" t="s">
        <v>53</v>
      </c>
      <c r="N1679" s="3" t="s">
        <v>24</v>
      </c>
      <c r="O1679" s="3" t="s">
        <v>25</v>
      </c>
    </row>
    <row r="1680" spans="1:15">
      <c r="A1680" s="3" t="s">
        <v>15</v>
      </c>
      <c r="B1680" s="3" t="str">
        <f>"FES1162741540"</f>
        <v>FES1162741540</v>
      </c>
      <c r="C1680" s="3" t="s">
        <v>1190</v>
      </c>
      <c r="D1680" s="3">
        <v>1</v>
      </c>
      <c r="E1680" s="3" t="str">
        <f>"2170732388"</f>
        <v>2170732388</v>
      </c>
      <c r="F1680" s="3" t="s">
        <v>17</v>
      </c>
      <c r="G1680" s="3" t="s">
        <v>18</v>
      </c>
      <c r="H1680" s="3" t="s">
        <v>19</v>
      </c>
      <c r="I1680" s="3" t="s">
        <v>51</v>
      </c>
      <c r="J1680" s="3" t="s">
        <v>89</v>
      </c>
      <c r="K1680" s="3" t="s">
        <v>1228</v>
      </c>
      <c r="L1680" s="4">
        <v>0.48055555555555557</v>
      </c>
      <c r="M1680" s="3" t="s">
        <v>1132</v>
      </c>
      <c r="N1680" s="3" t="s">
        <v>24</v>
      </c>
      <c r="O1680" s="3" t="s">
        <v>25</v>
      </c>
    </row>
    <row r="1681" spans="1:15">
      <c r="A1681" s="3" t="s">
        <v>15</v>
      </c>
      <c r="B1681" s="3" t="str">
        <f>"FES1162741550"</f>
        <v>FES1162741550</v>
      </c>
      <c r="C1681" s="3" t="s">
        <v>1190</v>
      </c>
      <c r="D1681" s="3">
        <v>1</v>
      </c>
      <c r="E1681" s="3" t="str">
        <f>"2170732893"</f>
        <v>2170732893</v>
      </c>
      <c r="F1681" s="3" t="s">
        <v>17</v>
      </c>
      <c r="G1681" s="3" t="s">
        <v>18</v>
      </c>
      <c r="H1681" s="3" t="s">
        <v>70</v>
      </c>
      <c r="I1681" s="3" t="s">
        <v>71</v>
      </c>
      <c r="J1681" s="3" t="s">
        <v>671</v>
      </c>
      <c r="K1681" s="3" t="s">
        <v>1228</v>
      </c>
      <c r="L1681" s="4">
        <v>0.39374999999999999</v>
      </c>
      <c r="M1681" s="3" t="s">
        <v>929</v>
      </c>
      <c r="N1681" s="3" t="s">
        <v>24</v>
      </c>
      <c r="O1681" s="3" t="s">
        <v>25</v>
      </c>
    </row>
    <row r="1682" spans="1:15">
      <c r="A1682" s="3" t="s">
        <v>15</v>
      </c>
      <c r="B1682" s="3" t="str">
        <f>"FES1162741529"</f>
        <v>FES1162741529</v>
      </c>
      <c r="C1682" s="3" t="s">
        <v>1190</v>
      </c>
      <c r="D1682" s="3">
        <v>1</v>
      </c>
      <c r="E1682" s="3" t="str">
        <f>"2170731722"</f>
        <v>2170731722</v>
      </c>
      <c r="F1682" s="3" t="s">
        <v>17</v>
      </c>
      <c r="G1682" s="3" t="s">
        <v>18</v>
      </c>
      <c r="H1682" s="3" t="s">
        <v>19</v>
      </c>
      <c r="I1682" s="3" t="s">
        <v>20</v>
      </c>
      <c r="J1682" s="3" t="s">
        <v>223</v>
      </c>
      <c r="K1682" s="3" t="s">
        <v>1228</v>
      </c>
      <c r="L1682" s="4">
        <v>0.3125</v>
      </c>
      <c r="M1682" s="3" t="s">
        <v>268</v>
      </c>
      <c r="N1682" s="3" t="s">
        <v>24</v>
      </c>
      <c r="O1682" s="3" t="s">
        <v>25</v>
      </c>
    </row>
    <row r="1683" spans="1:15">
      <c r="A1683" s="3" t="s">
        <v>15</v>
      </c>
      <c r="B1683" s="3" t="str">
        <f>"FES1162741543"</f>
        <v>FES1162741543</v>
      </c>
      <c r="C1683" s="3" t="s">
        <v>1190</v>
      </c>
      <c r="D1683" s="3">
        <v>1</v>
      </c>
      <c r="E1683" s="3" t="str">
        <f>"2170732591"</f>
        <v>2170732591</v>
      </c>
      <c r="F1683" s="3" t="s">
        <v>17</v>
      </c>
      <c r="G1683" s="3" t="s">
        <v>18</v>
      </c>
      <c r="H1683" s="3" t="s">
        <v>19</v>
      </c>
      <c r="I1683" s="3" t="s">
        <v>1241</v>
      </c>
      <c r="J1683" s="3" t="s">
        <v>1242</v>
      </c>
      <c r="K1683" s="3" t="s">
        <v>1228</v>
      </c>
      <c r="L1683" s="4">
        <v>0.4777777777777778</v>
      </c>
      <c r="M1683" s="3" t="s">
        <v>1538</v>
      </c>
      <c r="N1683" s="3" t="s">
        <v>24</v>
      </c>
      <c r="O1683" s="3" t="s">
        <v>25</v>
      </c>
    </row>
    <row r="1684" spans="1:15">
      <c r="A1684" s="3" t="s">
        <v>15</v>
      </c>
      <c r="B1684" s="3" t="str">
        <f>"FES1162741570"</f>
        <v>FES1162741570</v>
      </c>
      <c r="C1684" s="3" t="s">
        <v>1190</v>
      </c>
      <c r="D1684" s="3">
        <v>1</v>
      </c>
      <c r="E1684" s="3" t="str">
        <f>"2170733108"</f>
        <v>2170733108</v>
      </c>
      <c r="F1684" s="3" t="s">
        <v>17</v>
      </c>
      <c r="G1684" s="3" t="s">
        <v>18</v>
      </c>
      <c r="H1684" s="3" t="s">
        <v>19</v>
      </c>
      <c r="I1684" s="3" t="s">
        <v>51</v>
      </c>
      <c r="J1684" s="3" t="s">
        <v>209</v>
      </c>
      <c r="K1684" s="3" t="s">
        <v>1228</v>
      </c>
      <c r="L1684" s="4">
        <v>0.3354166666666667</v>
      </c>
      <c r="M1684" s="3" t="s">
        <v>1539</v>
      </c>
      <c r="N1684" s="3" t="s">
        <v>24</v>
      </c>
      <c r="O1684" s="3" t="s">
        <v>25</v>
      </c>
    </row>
    <row r="1685" spans="1:15">
      <c r="A1685" s="3" t="s">
        <v>15</v>
      </c>
      <c r="B1685" s="3" t="str">
        <f>"FES1162741573"</f>
        <v>FES1162741573</v>
      </c>
      <c r="C1685" s="3" t="s">
        <v>1190</v>
      </c>
      <c r="D1685" s="3">
        <v>1</v>
      </c>
      <c r="E1685" s="3" t="str">
        <f>"2170732422"</f>
        <v>2170732422</v>
      </c>
      <c r="F1685" s="3" t="s">
        <v>17</v>
      </c>
      <c r="G1685" s="3" t="s">
        <v>18</v>
      </c>
      <c r="H1685" s="3" t="s">
        <v>46</v>
      </c>
      <c r="I1685" s="3" t="s">
        <v>1073</v>
      </c>
      <c r="J1685" s="3" t="s">
        <v>1540</v>
      </c>
      <c r="K1685" s="3" t="s">
        <v>1228</v>
      </c>
      <c r="L1685" s="4">
        <v>0.3354166666666667</v>
      </c>
      <c r="M1685" s="3" t="s">
        <v>1541</v>
      </c>
      <c r="N1685" s="3" t="s">
        <v>24</v>
      </c>
      <c r="O1685" s="3" t="s">
        <v>25</v>
      </c>
    </row>
    <row r="1686" spans="1:15">
      <c r="A1686" s="3" t="s">
        <v>15</v>
      </c>
      <c r="B1686" s="3" t="str">
        <f>"FES1162741571"</f>
        <v>FES1162741571</v>
      </c>
      <c r="C1686" s="3" t="s">
        <v>1190</v>
      </c>
      <c r="D1686" s="3">
        <v>1</v>
      </c>
      <c r="E1686" s="3" t="str">
        <f>"2170733111"</f>
        <v>2170733111</v>
      </c>
      <c r="F1686" s="3" t="s">
        <v>17</v>
      </c>
      <c r="G1686" s="3" t="s">
        <v>18</v>
      </c>
      <c r="H1686" s="3" t="s">
        <v>100</v>
      </c>
      <c r="I1686" s="3" t="s">
        <v>101</v>
      </c>
      <c r="J1686" s="3" t="s">
        <v>1217</v>
      </c>
      <c r="K1686" s="3" t="s">
        <v>1228</v>
      </c>
      <c r="L1686" s="4">
        <v>0.40416666666666662</v>
      </c>
      <c r="M1686" s="3" t="s">
        <v>1542</v>
      </c>
      <c r="N1686" s="3" t="s">
        <v>24</v>
      </c>
      <c r="O1686" s="3" t="s">
        <v>25</v>
      </c>
    </row>
    <row r="1687" spans="1:15">
      <c r="A1687" s="3" t="s">
        <v>15</v>
      </c>
      <c r="B1687" s="3" t="str">
        <f>"FES1162741594"</f>
        <v>FES1162741594</v>
      </c>
      <c r="C1687" s="3" t="s">
        <v>1190</v>
      </c>
      <c r="D1687" s="3">
        <v>1</v>
      </c>
      <c r="E1687" s="3" t="str">
        <f>"2170733129"</f>
        <v>2170733129</v>
      </c>
      <c r="F1687" s="3" t="s">
        <v>17</v>
      </c>
      <c r="G1687" s="3" t="s">
        <v>18</v>
      </c>
      <c r="H1687" s="3" t="s">
        <v>36</v>
      </c>
      <c r="I1687" s="3" t="s">
        <v>37</v>
      </c>
      <c r="J1687" s="3" t="s">
        <v>1543</v>
      </c>
      <c r="K1687" s="3" t="s">
        <v>1228</v>
      </c>
      <c r="L1687" s="4">
        <v>0.33888888888888885</v>
      </c>
      <c r="M1687" s="3" t="s">
        <v>1544</v>
      </c>
      <c r="N1687" s="3" t="s">
        <v>24</v>
      </c>
      <c r="O1687" s="3" t="s">
        <v>25</v>
      </c>
    </row>
    <row r="1688" spans="1:15">
      <c r="A1688" s="3" t="s">
        <v>15</v>
      </c>
      <c r="B1688" s="3" t="str">
        <f>"FES1162741593"</f>
        <v>FES1162741593</v>
      </c>
      <c r="C1688" s="3" t="s">
        <v>1190</v>
      </c>
      <c r="D1688" s="3">
        <v>1</v>
      </c>
      <c r="E1688" s="3" t="str">
        <f>"2170733127"</f>
        <v>2170733127</v>
      </c>
      <c r="F1688" s="3" t="s">
        <v>17</v>
      </c>
      <c r="G1688" s="3" t="s">
        <v>18</v>
      </c>
      <c r="H1688" s="3" t="s">
        <v>36</v>
      </c>
      <c r="I1688" s="3" t="s">
        <v>37</v>
      </c>
      <c r="J1688" s="3" t="s">
        <v>260</v>
      </c>
      <c r="K1688" s="3" t="s">
        <v>1228</v>
      </c>
      <c r="L1688" s="4">
        <v>0.36319444444444443</v>
      </c>
      <c r="M1688" s="3" t="s">
        <v>788</v>
      </c>
      <c r="N1688" s="3" t="s">
        <v>24</v>
      </c>
      <c r="O1688" s="3" t="s">
        <v>25</v>
      </c>
    </row>
    <row r="1689" spans="1:15">
      <c r="A1689" s="3" t="s">
        <v>15</v>
      </c>
      <c r="B1689" s="3" t="str">
        <f>"FES1162741589"</f>
        <v>FES1162741589</v>
      </c>
      <c r="C1689" s="3" t="s">
        <v>1190</v>
      </c>
      <c r="D1689" s="3">
        <v>1</v>
      </c>
      <c r="E1689" s="3" t="str">
        <f>"2170730993"</f>
        <v>2170730993</v>
      </c>
      <c r="F1689" s="3" t="s">
        <v>17</v>
      </c>
      <c r="G1689" s="3" t="s">
        <v>18</v>
      </c>
      <c r="H1689" s="3" t="s">
        <v>100</v>
      </c>
      <c r="I1689" s="3" t="s">
        <v>101</v>
      </c>
      <c r="J1689" s="3" t="s">
        <v>142</v>
      </c>
      <c r="K1689" s="3" t="s">
        <v>1228</v>
      </c>
      <c r="L1689" s="4">
        <v>0.40486111111111112</v>
      </c>
      <c r="M1689" s="3" t="s">
        <v>1169</v>
      </c>
      <c r="N1689" s="3" t="s">
        <v>24</v>
      </c>
      <c r="O1689" s="3" t="s">
        <v>25</v>
      </c>
    </row>
    <row r="1690" spans="1:15">
      <c r="A1690" s="3" t="s">
        <v>15</v>
      </c>
      <c r="B1690" s="3" t="str">
        <f>"FES1162741603"</f>
        <v>FES1162741603</v>
      </c>
      <c r="C1690" s="3" t="s">
        <v>1190</v>
      </c>
      <c r="D1690" s="3">
        <v>1</v>
      </c>
      <c r="E1690" s="3" t="str">
        <f>"2170733016"</f>
        <v>2170733016</v>
      </c>
      <c r="F1690" s="3" t="s">
        <v>17</v>
      </c>
      <c r="G1690" s="3" t="s">
        <v>18</v>
      </c>
      <c r="H1690" s="3" t="s">
        <v>100</v>
      </c>
      <c r="I1690" s="3" t="s">
        <v>144</v>
      </c>
      <c r="J1690" s="3" t="s">
        <v>378</v>
      </c>
      <c r="K1690" s="3" t="s">
        <v>1228</v>
      </c>
      <c r="L1690" s="4">
        <v>0.38819444444444445</v>
      </c>
      <c r="M1690" s="3" t="s">
        <v>1491</v>
      </c>
      <c r="N1690" s="3" t="s">
        <v>24</v>
      </c>
      <c r="O1690" s="3" t="s">
        <v>25</v>
      </c>
    </row>
    <row r="1691" spans="1:15">
      <c r="A1691" s="3" t="s">
        <v>15</v>
      </c>
      <c r="B1691" s="3" t="str">
        <f>"FES1162741560"</f>
        <v>FES1162741560</v>
      </c>
      <c r="C1691" s="3" t="s">
        <v>1190</v>
      </c>
      <c r="D1691" s="3">
        <v>1</v>
      </c>
      <c r="E1691" s="3" t="str">
        <f>"2170733094"</f>
        <v>2170733094</v>
      </c>
      <c r="F1691" s="3" t="s">
        <v>17</v>
      </c>
      <c r="G1691" s="3" t="s">
        <v>18</v>
      </c>
      <c r="H1691" s="3" t="s">
        <v>70</v>
      </c>
      <c r="I1691" s="3" t="s">
        <v>71</v>
      </c>
      <c r="J1691" s="3" t="s">
        <v>422</v>
      </c>
      <c r="K1691" s="3" t="s">
        <v>1228</v>
      </c>
      <c r="L1691" s="4">
        <v>0.40972222222222227</v>
      </c>
      <c r="M1691" s="3" t="s">
        <v>1545</v>
      </c>
      <c r="N1691" s="3" t="s">
        <v>24</v>
      </c>
      <c r="O1691" s="3" t="s">
        <v>25</v>
      </c>
    </row>
    <row r="1692" spans="1:15">
      <c r="A1692" s="3" t="s">
        <v>15</v>
      </c>
      <c r="B1692" s="3" t="str">
        <f>"FES1162741591"</f>
        <v>FES1162741591</v>
      </c>
      <c r="C1692" s="3" t="s">
        <v>1190</v>
      </c>
      <c r="D1692" s="3">
        <v>1</v>
      </c>
      <c r="E1692" s="3" t="str">
        <f>"2170733133"</f>
        <v>2170733133</v>
      </c>
      <c r="F1692" s="3" t="s">
        <v>17</v>
      </c>
      <c r="G1692" s="3" t="s">
        <v>18</v>
      </c>
      <c r="H1692" s="3" t="s">
        <v>66</v>
      </c>
      <c r="I1692" s="3" t="s">
        <v>67</v>
      </c>
      <c r="J1692" s="3" t="s">
        <v>287</v>
      </c>
      <c r="K1692" s="3" t="s">
        <v>1228</v>
      </c>
      <c r="L1692" s="4">
        <v>0.33333333333333331</v>
      </c>
      <c r="M1692" s="3" t="s">
        <v>1496</v>
      </c>
      <c r="N1692" s="3" t="s">
        <v>24</v>
      </c>
      <c r="O1692" s="3" t="s">
        <v>25</v>
      </c>
    </row>
    <row r="1693" spans="1:15">
      <c r="A1693" s="3" t="s">
        <v>15</v>
      </c>
      <c r="B1693" s="3" t="str">
        <f>"FES1162741561"</f>
        <v>FES1162741561</v>
      </c>
      <c r="C1693" s="3" t="s">
        <v>1190</v>
      </c>
      <c r="D1693" s="3">
        <v>1</v>
      </c>
      <c r="E1693" s="3" t="str">
        <f>"2170733095"</f>
        <v>2170733095</v>
      </c>
      <c r="F1693" s="3" t="s">
        <v>17</v>
      </c>
      <c r="G1693" s="3" t="s">
        <v>18</v>
      </c>
      <c r="H1693" s="3" t="s">
        <v>70</v>
      </c>
      <c r="I1693" s="3" t="s">
        <v>71</v>
      </c>
      <c r="J1693" s="3" t="s">
        <v>422</v>
      </c>
      <c r="K1693" s="3" t="s">
        <v>1228</v>
      </c>
      <c r="L1693" s="4">
        <v>0.40972222222222227</v>
      </c>
      <c r="M1693" s="3" t="s">
        <v>1545</v>
      </c>
      <c r="N1693" s="3" t="s">
        <v>24</v>
      </c>
      <c r="O1693" s="3" t="s">
        <v>25</v>
      </c>
    </row>
    <row r="1694" spans="1:15">
      <c r="A1694" s="3" t="s">
        <v>15</v>
      </c>
      <c r="B1694" s="3" t="str">
        <f>"FES1162741466"</f>
        <v>FES1162741466</v>
      </c>
      <c r="C1694" s="3" t="s">
        <v>1190</v>
      </c>
      <c r="D1694" s="3">
        <v>1</v>
      </c>
      <c r="E1694" s="3" t="str">
        <f>"2170733011"</f>
        <v>2170733011</v>
      </c>
      <c r="F1694" s="3" t="s">
        <v>17</v>
      </c>
      <c r="G1694" s="3" t="s">
        <v>18</v>
      </c>
      <c r="H1694" s="3" t="s">
        <v>18</v>
      </c>
      <c r="I1694" s="3" t="s">
        <v>180</v>
      </c>
      <c r="J1694" s="3" t="s">
        <v>856</v>
      </c>
      <c r="K1694" s="3" t="s">
        <v>1228</v>
      </c>
      <c r="L1694" s="4">
        <v>0.42569444444444443</v>
      </c>
      <c r="M1694" s="3" t="s">
        <v>1134</v>
      </c>
      <c r="N1694" s="3" t="s">
        <v>24</v>
      </c>
      <c r="O1694" s="3" t="s">
        <v>25</v>
      </c>
    </row>
    <row r="1695" spans="1:15">
      <c r="A1695" s="3" t="s">
        <v>15</v>
      </c>
      <c r="B1695" s="3" t="str">
        <f>"FES1162741578"</f>
        <v>FES1162741578</v>
      </c>
      <c r="C1695" s="3" t="s">
        <v>1190</v>
      </c>
      <c r="D1695" s="3">
        <v>1</v>
      </c>
      <c r="E1695" s="3" t="str">
        <f>"2170733112"</f>
        <v>2170733112</v>
      </c>
      <c r="F1695" s="3" t="s">
        <v>17</v>
      </c>
      <c r="G1695" s="3" t="s">
        <v>18</v>
      </c>
      <c r="H1695" s="3" t="s">
        <v>19</v>
      </c>
      <c r="I1695" s="3" t="s">
        <v>51</v>
      </c>
      <c r="J1695" s="3" t="s">
        <v>1546</v>
      </c>
      <c r="K1695" s="3" t="s">
        <v>1228</v>
      </c>
      <c r="L1695" s="4">
        <v>0.43055555555555558</v>
      </c>
      <c r="M1695" s="3" t="s">
        <v>1547</v>
      </c>
      <c r="N1695" s="3" t="s">
        <v>24</v>
      </c>
      <c r="O1695" s="3" t="s">
        <v>25</v>
      </c>
    </row>
    <row r="1696" spans="1:15">
      <c r="A1696" s="3" t="s">
        <v>15</v>
      </c>
      <c r="B1696" s="3" t="str">
        <f>"FES1162741556"</f>
        <v>FES1162741556</v>
      </c>
      <c r="C1696" s="3" t="s">
        <v>1190</v>
      </c>
      <c r="D1696" s="3">
        <v>1</v>
      </c>
      <c r="E1696" s="3" t="str">
        <f>"2170733090"</f>
        <v>2170733090</v>
      </c>
      <c r="F1696" s="3" t="s">
        <v>17</v>
      </c>
      <c r="G1696" s="3" t="s">
        <v>18</v>
      </c>
      <c r="H1696" s="3" t="s">
        <v>19</v>
      </c>
      <c r="I1696" s="3" t="s">
        <v>20</v>
      </c>
      <c r="J1696" s="3" t="s">
        <v>1548</v>
      </c>
      <c r="K1696" s="3" t="s">
        <v>1228</v>
      </c>
      <c r="L1696" s="4">
        <v>0.36041666666666666</v>
      </c>
      <c r="M1696" s="3" t="s">
        <v>1549</v>
      </c>
      <c r="N1696" s="3" t="s">
        <v>24</v>
      </c>
      <c r="O1696" s="3" t="s">
        <v>25</v>
      </c>
    </row>
    <row r="1697" spans="1:15">
      <c r="A1697" s="3" t="s">
        <v>15</v>
      </c>
      <c r="B1697" s="3" t="str">
        <f>"FES1162741587"</f>
        <v>FES1162741587</v>
      </c>
      <c r="C1697" s="3" t="s">
        <v>1190</v>
      </c>
      <c r="D1697" s="3">
        <v>1</v>
      </c>
      <c r="E1697" s="3" t="str">
        <f>"2170733123"</f>
        <v>2170733123</v>
      </c>
      <c r="F1697" s="3" t="s">
        <v>17</v>
      </c>
      <c r="G1697" s="3" t="s">
        <v>18</v>
      </c>
      <c r="H1697" s="3" t="s">
        <v>66</v>
      </c>
      <c r="I1697" s="3" t="s">
        <v>67</v>
      </c>
      <c r="J1697" s="3" t="s">
        <v>1550</v>
      </c>
      <c r="K1697" s="3" t="s">
        <v>1228</v>
      </c>
      <c r="L1697" s="4">
        <v>0.36041666666666666</v>
      </c>
      <c r="M1697" s="3" t="s">
        <v>1551</v>
      </c>
      <c r="N1697" s="3" t="s">
        <v>24</v>
      </c>
      <c r="O1697" s="3" t="s">
        <v>25</v>
      </c>
    </row>
    <row r="1698" spans="1:15">
      <c r="A1698" s="3" t="s">
        <v>15</v>
      </c>
      <c r="B1698" s="3" t="str">
        <f>"FES1162741563"</f>
        <v>FES1162741563</v>
      </c>
      <c r="C1698" s="3" t="s">
        <v>1190</v>
      </c>
      <c r="D1698" s="3">
        <v>1</v>
      </c>
      <c r="E1698" s="3" t="str">
        <f>"2170733099"</f>
        <v>2170733099</v>
      </c>
      <c r="F1698" s="3" t="s">
        <v>17</v>
      </c>
      <c r="G1698" s="3" t="s">
        <v>18</v>
      </c>
      <c r="H1698" s="3" t="s">
        <v>18</v>
      </c>
      <c r="I1698" s="3" t="s">
        <v>33</v>
      </c>
      <c r="J1698" s="3" t="s">
        <v>1552</v>
      </c>
      <c r="K1698" s="3" t="s">
        <v>1228</v>
      </c>
      <c r="L1698" s="4">
        <v>0.58333333333333337</v>
      </c>
      <c r="M1698" s="3" t="s">
        <v>1553</v>
      </c>
      <c r="N1698" s="3" t="s">
        <v>24</v>
      </c>
      <c r="O1698" s="3" t="s">
        <v>25</v>
      </c>
    </row>
    <row r="1699" spans="1:15">
      <c r="A1699" s="3" t="s">
        <v>15</v>
      </c>
      <c r="B1699" s="3" t="str">
        <f>"FES1162741592"</f>
        <v>FES1162741592</v>
      </c>
      <c r="C1699" s="3" t="s">
        <v>1190</v>
      </c>
      <c r="D1699" s="3">
        <v>1</v>
      </c>
      <c r="E1699" s="3" t="str">
        <f>"2170733126"</f>
        <v>2170733126</v>
      </c>
      <c r="F1699" s="3" t="s">
        <v>17</v>
      </c>
      <c r="G1699" s="3" t="s">
        <v>18</v>
      </c>
      <c r="H1699" s="3" t="s">
        <v>66</v>
      </c>
      <c r="I1699" s="3" t="s">
        <v>67</v>
      </c>
      <c r="J1699" s="3" t="s">
        <v>975</v>
      </c>
      <c r="K1699" s="3" t="s">
        <v>1228</v>
      </c>
      <c r="L1699" s="4">
        <v>0.33680555555555558</v>
      </c>
      <c r="M1699" s="3" t="s">
        <v>1535</v>
      </c>
      <c r="N1699" s="3" t="s">
        <v>24</v>
      </c>
      <c r="O1699" s="3" t="s">
        <v>25</v>
      </c>
    </row>
    <row r="1700" spans="1:15">
      <c r="A1700" s="3" t="s">
        <v>15</v>
      </c>
      <c r="B1700" s="3" t="str">
        <f>"FES1162741538"</f>
        <v>FES1162741538</v>
      </c>
      <c r="C1700" s="3" t="s">
        <v>1190</v>
      </c>
      <c r="D1700" s="3">
        <v>1</v>
      </c>
      <c r="E1700" s="3" t="str">
        <f>"21700732324"</f>
        <v>21700732324</v>
      </c>
      <c r="F1700" s="3" t="s">
        <v>17</v>
      </c>
      <c r="G1700" s="3" t="s">
        <v>18</v>
      </c>
      <c r="H1700" s="3" t="s">
        <v>18</v>
      </c>
      <c r="I1700" s="3" t="s">
        <v>168</v>
      </c>
      <c r="J1700" s="3" t="s">
        <v>169</v>
      </c>
      <c r="K1700" s="3" t="s">
        <v>1228</v>
      </c>
      <c r="L1700" s="4">
        <v>0.43055555555555558</v>
      </c>
      <c r="M1700" s="3" t="s">
        <v>170</v>
      </c>
      <c r="N1700" s="3" t="s">
        <v>24</v>
      </c>
      <c r="O1700" s="3" t="s">
        <v>25</v>
      </c>
    </row>
    <row r="1701" spans="1:15">
      <c r="A1701" s="3" t="s">
        <v>15</v>
      </c>
      <c r="B1701" s="3" t="str">
        <f>"FES1162741519"</f>
        <v>FES1162741519</v>
      </c>
      <c r="C1701" s="3" t="s">
        <v>1190</v>
      </c>
      <c r="D1701" s="3">
        <v>1</v>
      </c>
      <c r="E1701" s="3" t="str">
        <f>"2170733073"</f>
        <v>2170733073</v>
      </c>
      <c r="F1701" s="3" t="s">
        <v>17</v>
      </c>
      <c r="G1701" s="3" t="s">
        <v>18</v>
      </c>
      <c r="H1701" s="3" t="s">
        <v>18</v>
      </c>
      <c r="I1701" s="3" t="s">
        <v>33</v>
      </c>
      <c r="J1701" s="3" t="s">
        <v>34</v>
      </c>
      <c r="K1701" s="3" t="s">
        <v>1228</v>
      </c>
      <c r="L1701" s="4">
        <v>0.4236111111111111</v>
      </c>
      <c r="M1701" s="3" t="s">
        <v>1430</v>
      </c>
      <c r="N1701" s="3" t="s">
        <v>24</v>
      </c>
      <c r="O1701" s="3" t="s">
        <v>25</v>
      </c>
    </row>
    <row r="1702" spans="1:15">
      <c r="A1702" s="3" t="s">
        <v>15</v>
      </c>
      <c r="B1702" s="3" t="str">
        <f>"FES1162741585"</f>
        <v>FES1162741585</v>
      </c>
      <c r="C1702" s="3" t="s">
        <v>1190</v>
      </c>
      <c r="D1702" s="3">
        <v>1</v>
      </c>
      <c r="E1702" s="3" t="str">
        <f>"2170733120"</f>
        <v>2170733120</v>
      </c>
      <c r="F1702" s="3" t="s">
        <v>17</v>
      </c>
      <c r="G1702" s="3" t="s">
        <v>18</v>
      </c>
      <c r="H1702" s="3" t="s">
        <v>100</v>
      </c>
      <c r="I1702" s="3" t="s">
        <v>101</v>
      </c>
      <c r="J1702" s="3" t="s">
        <v>921</v>
      </c>
      <c r="K1702" s="3" t="s">
        <v>1228</v>
      </c>
      <c r="L1702" s="4">
        <v>0.41666666666666669</v>
      </c>
      <c r="M1702" s="3" t="s">
        <v>767</v>
      </c>
      <c r="N1702" s="3" t="s">
        <v>24</v>
      </c>
      <c r="O1702" s="3" t="s">
        <v>25</v>
      </c>
    </row>
    <row r="1703" spans="1:15">
      <c r="A1703" s="3" t="s">
        <v>15</v>
      </c>
      <c r="B1703" s="3" t="str">
        <f>"FES1162741465"</f>
        <v>FES1162741465</v>
      </c>
      <c r="C1703" s="3" t="s">
        <v>1190</v>
      </c>
      <c r="D1703" s="3">
        <v>1</v>
      </c>
      <c r="E1703" s="3" t="str">
        <f>"2170733010"</f>
        <v>2170733010</v>
      </c>
      <c r="F1703" s="3" t="s">
        <v>17</v>
      </c>
      <c r="G1703" s="3" t="s">
        <v>18</v>
      </c>
      <c r="H1703" s="3" t="s">
        <v>18</v>
      </c>
      <c r="I1703" s="3" t="s">
        <v>151</v>
      </c>
      <c r="J1703" s="3" t="s">
        <v>770</v>
      </c>
      <c r="K1703" s="3" t="s">
        <v>1228</v>
      </c>
      <c r="L1703" s="4">
        <v>0.4375</v>
      </c>
      <c r="M1703" s="3" t="s">
        <v>1554</v>
      </c>
      <c r="N1703" s="3" t="s">
        <v>24</v>
      </c>
      <c r="O1703" s="3" t="s">
        <v>25</v>
      </c>
    </row>
    <row r="1704" spans="1:15">
      <c r="A1704" s="3" t="s">
        <v>15</v>
      </c>
      <c r="B1704" s="3" t="str">
        <f>"FES1162741462"</f>
        <v>FES1162741462</v>
      </c>
      <c r="C1704" s="3" t="s">
        <v>1190</v>
      </c>
      <c r="D1704" s="3">
        <v>1</v>
      </c>
      <c r="E1704" s="3" t="str">
        <f>"2170732964"</f>
        <v>2170732964</v>
      </c>
      <c r="F1704" s="3" t="s">
        <v>17</v>
      </c>
      <c r="G1704" s="3" t="s">
        <v>18</v>
      </c>
      <c r="H1704" s="3" t="s">
        <v>18</v>
      </c>
      <c r="I1704" s="3" t="s">
        <v>29</v>
      </c>
      <c r="J1704" s="3" t="s">
        <v>1555</v>
      </c>
      <c r="K1704" s="3" t="s">
        <v>1228</v>
      </c>
      <c r="L1704" s="4">
        <v>0.375</v>
      </c>
      <c r="M1704" s="3" t="s">
        <v>1556</v>
      </c>
      <c r="N1704" s="3" t="s">
        <v>24</v>
      </c>
      <c r="O1704" s="3" t="s">
        <v>25</v>
      </c>
    </row>
    <row r="1705" spans="1:15">
      <c r="A1705" s="3" t="s">
        <v>15</v>
      </c>
      <c r="B1705" s="3" t="str">
        <f>"FES1162741606"</f>
        <v>FES1162741606</v>
      </c>
      <c r="C1705" s="3" t="s">
        <v>1190</v>
      </c>
      <c r="D1705" s="3">
        <v>1</v>
      </c>
      <c r="E1705" s="3" t="str">
        <f>"2170733019"</f>
        <v>2170733019</v>
      </c>
      <c r="F1705" s="3" t="s">
        <v>17</v>
      </c>
      <c r="G1705" s="3" t="s">
        <v>18</v>
      </c>
      <c r="H1705" s="3" t="s">
        <v>66</v>
      </c>
      <c r="I1705" s="3" t="s">
        <v>67</v>
      </c>
      <c r="J1705" s="3" t="s">
        <v>927</v>
      </c>
      <c r="K1705" s="3" t="s">
        <v>1228</v>
      </c>
      <c r="L1705" s="4">
        <v>0.36736111111111108</v>
      </c>
      <c r="M1705" s="3" t="s">
        <v>1557</v>
      </c>
      <c r="N1705" s="3" t="s">
        <v>24</v>
      </c>
      <c r="O1705" s="3" t="s">
        <v>25</v>
      </c>
    </row>
    <row r="1706" spans="1:15">
      <c r="A1706" s="3" t="s">
        <v>15</v>
      </c>
      <c r="B1706" s="3" t="str">
        <f>"FES1162741604"</f>
        <v>FES1162741604</v>
      </c>
      <c r="C1706" s="3" t="s">
        <v>1190</v>
      </c>
      <c r="D1706" s="3">
        <v>1</v>
      </c>
      <c r="E1706" s="3" t="str">
        <f>"2170733029"</f>
        <v>2170733029</v>
      </c>
      <c r="F1706" s="3" t="s">
        <v>17</v>
      </c>
      <c r="G1706" s="3" t="s">
        <v>18</v>
      </c>
      <c r="H1706" s="3" t="s">
        <v>18</v>
      </c>
      <c r="I1706" s="3" t="s">
        <v>29</v>
      </c>
      <c r="J1706" s="3" t="s">
        <v>1558</v>
      </c>
      <c r="K1706" s="3" t="s">
        <v>1228</v>
      </c>
      <c r="L1706" s="4">
        <v>0.32777777777777778</v>
      </c>
      <c r="M1706" s="3" t="s">
        <v>1559</v>
      </c>
      <c r="N1706" s="3" t="s">
        <v>24</v>
      </c>
      <c r="O1706" s="3" t="s">
        <v>25</v>
      </c>
    </row>
    <row r="1707" spans="1:15">
      <c r="A1707" s="3" t="s">
        <v>15</v>
      </c>
      <c r="B1707" s="3" t="str">
        <f>"FES1162741365"</f>
        <v>FES1162741365</v>
      </c>
      <c r="C1707" s="3" t="s">
        <v>1190</v>
      </c>
      <c r="D1707" s="3">
        <v>1</v>
      </c>
      <c r="E1707" s="3" t="str">
        <f>"2170730846"</f>
        <v>2170730846</v>
      </c>
      <c r="F1707" s="3" t="s">
        <v>17</v>
      </c>
      <c r="G1707" s="3" t="s">
        <v>18</v>
      </c>
      <c r="H1707" s="3" t="s">
        <v>18</v>
      </c>
      <c r="I1707" s="3" t="s">
        <v>341</v>
      </c>
      <c r="J1707" s="3" t="s">
        <v>342</v>
      </c>
      <c r="K1707" s="3" t="s">
        <v>1228</v>
      </c>
      <c r="L1707" s="4">
        <v>0.38958333333333334</v>
      </c>
      <c r="M1707" s="3" t="s">
        <v>1560</v>
      </c>
      <c r="N1707" s="3" t="s">
        <v>24</v>
      </c>
      <c r="O1707" s="3" t="s">
        <v>25</v>
      </c>
    </row>
    <row r="1708" spans="1:15">
      <c r="A1708" s="3" t="s">
        <v>15</v>
      </c>
      <c r="B1708" s="3" t="str">
        <f>"009935712353"</f>
        <v>009935712353</v>
      </c>
      <c r="C1708" s="3" t="s">
        <v>1190</v>
      </c>
      <c r="D1708" s="3">
        <v>1</v>
      </c>
      <c r="E1708" s="3" t="str">
        <f>"1162739886"</f>
        <v>1162739886</v>
      </c>
      <c r="F1708" s="3" t="s">
        <v>17</v>
      </c>
      <c r="G1708" s="3" t="s">
        <v>18</v>
      </c>
      <c r="H1708" s="3" t="s">
        <v>18</v>
      </c>
      <c r="I1708" s="3" t="s">
        <v>309</v>
      </c>
      <c r="J1708" s="3" t="s">
        <v>1561</v>
      </c>
      <c r="K1708" s="3" t="s">
        <v>1228</v>
      </c>
      <c r="L1708" s="4">
        <v>0.34930555555555554</v>
      </c>
      <c r="M1708" s="3" t="s">
        <v>1562</v>
      </c>
      <c r="N1708" s="3" t="s">
        <v>24</v>
      </c>
      <c r="O1708" s="3" t="s">
        <v>32</v>
      </c>
    </row>
    <row r="1709" spans="1:15">
      <c r="A1709" s="3" t="s">
        <v>15</v>
      </c>
      <c r="B1709" s="3" t="str">
        <f>"FES1162741612"</f>
        <v>FES1162741612</v>
      </c>
      <c r="C1709" s="3" t="s">
        <v>1190</v>
      </c>
      <c r="D1709" s="3">
        <v>1</v>
      </c>
      <c r="E1709" s="3" t="str">
        <f>"2170733150"</f>
        <v>2170733150</v>
      </c>
      <c r="F1709" s="3" t="s">
        <v>17</v>
      </c>
      <c r="G1709" s="3" t="s">
        <v>18</v>
      </c>
      <c r="H1709" s="3" t="s">
        <v>36</v>
      </c>
      <c r="I1709" s="3" t="s">
        <v>330</v>
      </c>
      <c r="J1709" s="3" t="s">
        <v>331</v>
      </c>
      <c r="K1709" s="3" t="s">
        <v>1228</v>
      </c>
      <c r="L1709" s="4">
        <v>0.40277777777777773</v>
      </c>
      <c r="M1709" s="3" t="s">
        <v>332</v>
      </c>
      <c r="N1709" s="3" t="s">
        <v>24</v>
      </c>
      <c r="O1709" s="3" t="s">
        <v>25</v>
      </c>
    </row>
    <row r="1710" spans="1:15">
      <c r="A1710" s="3" t="s">
        <v>15</v>
      </c>
      <c r="B1710" s="3" t="str">
        <f>"FES1162741595"</f>
        <v>FES1162741595</v>
      </c>
      <c r="C1710" s="3" t="s">
        <v>1190</v>
      </c>
      <c r="D1710" s="3">
        <v>1</v>
      </c>
      <c r="E1710" s="3" t="str">
        <f>"21707331030"</f>
        <v>21707331030</v>
      </c>
      <c r="F1710" s="3" t="s">
        <v>17</v>
      </c>
      <c r="G1710" s="3" t="s">
        <v>18</v>
      </c>
      <c r="H1710" s="3" t="s">
        <v>18</v>
      </c>
      <c r="I1710" s="3" t="s">
        <v>33</v>
      </c>
      <c r="J1710" s="3" t="s">
        <v>34</v>
      </c>
      <c r="K1710" s="3" t="s">
        <v>1228</v>
      </c>
      <c r="L1710" s="4">
        <v>0.42430555555555555</v>
      </c>
      <c r="M1710" s="3" t="s">
        <v>208</v>
      </c>
      <c r="N1710" s="3" t="s">
        <v>24</v>
      </c>
      <c r="O1710" s="3" t="s">
        <v>25</v>
      </c>
    </row>
    <row r="1711" spans="1:15">
      <c r="A1711" s="3" t="s">
        <v>15</v>
      </c>
      <c r="B1711" s="3" t="str">
        <f>"FES1162741581"</f>
        <v>FES1162741581</v>
      </c>
      <c r="C1711" s="3" t="s">
        <v>1190</v>
      </c>
      <c r="D1711" s="3">
        <v>1</v>
      </c>
      <c r="E1711" s="3" t="str">
        <f>"2170733116"</f>
        <v>2170733116</v>
      </c>
      <c r="F1711" s="3" t="s">
        <v>17</v>
      </c>
      <c r="G1711" s="3" t="s">
        <v>18</v>
      </c>
      <c r="H1711" s="3" t="s">
        <v>100</v>
      </c>
      <c r="I1711" s="3" t="s">
        <v>101</v>
      </c>
      <c r="J1711" s="3" t="s">
        <v>131</v>
      </c>
      <c r="K1711" s="3" t="s">
        <v>1228</v>
      </c>
      <c r="L1711" s="4">
        <v>0.4375</v>
      </c>
      <c r="M1711" s="3" t="s">
        <v>357</v>
      </c>
      <c r="N1711" s="3" t="s">
        <v>24</v>
      </c>
      <c r="O1711" s="3" t="s">
        <v>25</v>
      </c>
    </row>
    <row r="1712" spans="1:15">
      <c r="A1712" s="3" t="s">
        <v>15</v>
      </c>
      <c r="B1712" s="3" t="str">
        <f>"FES1162741582"</f>
        <v>FES1162741582</v>
      </c>
      <c r="C1712" s="3" t="s">
        <v>1190</v>
      </c>
      <c r="D1712" s="3">
        <v>1</v>
      </c>
      <c r="E1712" s="3" t="str">
        <f>"2170733117"</f>
        <v>2170733117</v>
      </c>
      <c r="F1712" s="3" t="s">
        <v>17</v>
      </c>
      <c r="G1712" s="3" t="s">
        <v>18</v>
      </c>
      <c r="H1712" s="3" t="s">
        <v>18</v>
      </c>
      <c r="I1712" s="3" t="s">
        <v>171</v>
      </c>
      <c r="J1712" s="3" t="s">
        <v>522</v>
      </c>
      <c r="K1712" s="3" t="s">
        <v>1228</v>
      </c>
      <c r="L1712" s="4">
        <v>0.28333333333333333</v>
      </c>
      <c r="M1712" s="3" t="s">
        <v>1437</v>
      </c>
      <c r="N1712" s="3" t="s">
        <v>24</v>
      </c>
      <c r="O1712" s="3" t="s">
        <v>25</v>
      </c>
    </row>
    <row r="1713" spans="1:15">
      <c r="A1713" s="3" t="s">
        <v>15</v>
      </c>
      <c r="B1713" s="3" t="str">
        <f>"FES1162741528"</f>
        <v>FES1162741528</v>
      </c>
      <c r="C1713" s="3" t="s">
        <v>1190</v>
      </c>
      <c r="D1713" s="3">
        <v>1</v>
      </c>
      <c r="E1713" s="3" t="str">
        <f>"2170732334"</f>
        <v>2170732334</v>
      </c>
      <c r="F1713" s="3" t="s">
        <v>17</v>
      </c>
      <c r="G1713" s="3" t="s">
        <v>18</v>
      </c>
      <c r="H1713" s="3" t="s">
        <v>18</v>
      </c>
      <c r="I1713" s="3" t="s">
        <v>33</v>
      </c>
      <c r="J1713" s="3" t="s">
        <v>34</v>
      </c>
      <c r="K1713" s="3" t="s">
        <v>1228</v>
      </c>
      <c r="L1713" s="4">
        <v>0.42499999999999999</v>
      </c>
      <c r="M1713" s="3" t="s">
        <v>208</v>
      </c>
      <c r="N1713" s="3" t="s">
        <v>24</v>
      </c>
      <c r="O1713" s="3" t="s">
        <v>25</v>
      </c>
    </row>
    <row r="1714" spans="1:15">
      <c r="A1714" s="3" t="s">
        <v>15</v>
      </c>
      <c r="B1714" s="3" t="str">
        <f>"FES1162741539"</f>
        <v>FES1162741539</v>
      </c>
      <c r="C1714" s="3" t="s">
        <v>1190</v>
      </c>
      <c r="D1714" s="3">
        <v>1</v>
      </c>
      <c r="E1714" s="3" t="str">
        <f>"2170732327"</f>
        <v>2170732327</v>
      </c>
      <c r="F1714" s="3" t="s">
        <v>17</v>
      </c>
      <c r="G1714" s="3" t="s">
        <v>18</v>
      </c>
      <c r="H1714" s="3" t="s">
        <v>18</v>
      </c>
      <c r="I1714" s="3" t="s">
        <v>168</v>
      </c>
      <c r="J1714" s="3" t="s">
        <v>169</v>
      </c>
      <c r="K1714" s="3" t="s">
        <v>1228</v>
      </c>
      <c r="L1714" s="4">
        <v>0.43055555555555558</v>
      </c>
      <c r="M1714" s="3" t="s">
        <v>170</v>
      </c>
      <c r="N1714" s="3" t="s">
        <v>24</v>
      </c>
      <c r="O1714" s="3" t="s">
        <v>25</v>
      </c>
    </row>
    <row r="1715" spans="1:15">
      <c r="A1715" s="3" t="s">
        <v>15</v>
      </c>
      <c r="B1715" s="3" t="str">
        <f>"FES1162741531"</f>
        <v>FES1162741531</v>
      </c>
      <c r="C1715" s="3" t="s">
        <v>1190</v>
      </c>
      <c r="D1715" s="3">
        <v>1</v>
      </c>
      <c r="E1715" s="3" t="str">
        <f>"2170731749"</f>
        <v>2170731749</v>
      </c>
      <c r="F1715" s="3" t="s">
        <v>17</v>
      </c>
      <c r="G1715" s="3" t="s">
        <v>18</v>
      </c>
      <c r="H1715" s="3" t="s">
        <v>19</v>
      </c>
      <c r="I1715" s="3" t="s">
        <v>20</v>
      </c>
      <c r="J1715" s="3" t="s">
        <v>748</v>
      </c>
      <c r="K1715" s="3" t="s">
        <v>1228</v>
      </c>
      <c r="L1715" s="4">
        <v>0.35416666666666669</v>
      </c>
      <c r="M1715" s="3" t="s">
        <v>1563</v>
      </c>
      <c r="N1715" s="3" t="s">
        <v>24</v>
      </c>
      <c r="O1715" s="3" t="s">
        <v>25</v>
      </c>
    </row>
    <row r="1716" spans="1:15">
      <c r="A1716" s="3" t="s">
        <v>15</v>
      </c>
      <c r="B1716" s="3" t="str">
        <f>"FES1162741544"</f>
        <v>FES1162741544</v>
      </c>
      <c r="C1716" s="3" t="s">
        <v>1190</v>
      </c>
      <c r="D1716" s="3">
        <v>1</v>
      </c>
      <c r="E1716" s="3" t="str">
        <f>"2170732722"</f>
        <v>2170732722</v>
      </c>
      <c r="F1716" s="3" t="s">
        <v>17</v>
      </c>
      <c r="G1716" s="3" t="s">
        <v>18</v>
      </c>
      <c r="H1716" s="3" t="s">
        <v>537</v>
      </c>
      <c r="I1716" s="3" t="s">
        <v>608</v>
      </c>
      <c r="J1716" s="3" t="s">
        <v>1374</v>
      </c>
      <c r="K1716" s="3" t="s">
        <v>1228</v>
      </c>
      <c r="L1716" s="4">
        <v>0.35416666666666669</v>
      </c>
      <c r="M1716" s="3" t="s">
        <v>1564</v>
      </c>
      <c r="N1716" s="3" t="s">
        <v>24</v>
      </c>
      <c r="O1716" s="3" t="s">
        <v>25</v>
      </c>
    </row>
    <row r="1717" spans="1:15">
      <c r="A1717" s="3" t="s">
        <v>15</v>
      </c>
      <c r="B1717" s="3" t="str">
        <f>"FES1162741600"</f>
        <v>FES1162741600</v>
      </c>
      <c r="C1717" s="3" t="s">
        <v>1190</v>
      </c>
      <c r="D1717" s="3">
        <v>1</v>
      </c>
      <c r="E1717" s="3" t="str">
        <f>"2170733139"</f>
        <v>2170733139</v>
      </c>
      <c r="F1717" s="3" t="s">
        <v>17</v>
      </c>
      <c r="G1717" s="3" t="s">
        <v>18</v>
      </c>
      <c r="H1717" s="3" t="s">
        <v>100</v>
      </c>
      <c r="I1717" s="3" t="s">
        <v>101</v>
      </c>
      <c r="J1717" s="3" t="s">
        <v>653</v>
      </c>
      <c r="K1717" s="3" t="s">
        <v>1228</v>
      </c>
      <c r="L1717" s="4">
        <v>0.4375</v>
      </c>
      <c r="M1717" s="3" t="s">
        <v>1472</v>
      </c>
      <c r="N1717" s="3" t="s">
        <v>24</v>
      </c>
      <c r="O1717" s="3" t="s">
        <v>25</v>
      </c>
    </row>
    <row r="1718" spans="1:15">
      <c r="A1718" s="3" t="s">
        <v>15</v>
      </c>
      <c r="B1718" s="3" t="str">
        <f>"FES1162741608"</f>
        <v>FES1162741608</v>
      </c>
      <c r="C1718" s="3" t="s">
        <v>1190</v>
      </c>
      <c r="D1718" s="3">
        <v>1</v>
      </c>
      <c r="E1718" s="3" t="str">
        <f>"2170733143"</f>
        <v>2170733143</v>
      </c>
      <c r="F1718" s="3" t="s">
        <v>17</v>
      </c>
      <c r="G1718" s="3" t="s">
        <v>18</v>
      </c>
      <c r="H1718" s="3" t="s">
        <v>18</v>
      </c>
      <c r="I1718" s="3" t="s">
        <v>33</v>
      </c>
      <c r="J1718" s="3" t="s">
        <v>34</v>
      </c>
      <c r="K1718" s="3" t="s">
        <v>1228</v>
      </c>
      <c r="L1718" s="4">
        <v>0.42569444444444443</v>
      </c>
      <c r="M1718" s="3" t="s">
        <v>1423</v>
      </c>
      <c r="N1718" s="3" t="s">
        <v>24</v>
      </c>
      <c r="O1718" s="3" t="s">
        <v>25</v>
      </c>
    </row>
    <row r="1719" spans="1:15">
      <c r="A1719" s="3" t="s">
        <v>15</v>
      </c>
      <c r="B1719" s="3" t="str">
        <f>"FES1162741532"</f>
        <v>FES1162741532</v>
      </c>
      <c r="C1719" s="3" t="s">
        <v>1190</v>
      </c>
      <c r="D1719" s="3">
        <v>1</v>
      </c>
      <c r="E1719" s="3" t="str">
        <f>"2170731789"</f>
        <v>2170731789</v>
      </c>
      <c r="F1719" s="3" t="s">
        <v>17</v>
      </c>
      <c r="G1719" s="3" t="s">
        <v>18</v>
      </c>
      <c r="H1719" s="3" t="s">
        <v>18</v>
      </c>
      <c r="I1719" s="3" t="s">
        <v>309</v>
      </c>
      <c r="J1719" s="3" t="s">
        <v>278</v>
      </c>
      <c r="K1719" s="3" t="s">
        <v>1228</v>
      </c>
      <c r="L1719" s="4">
        <v>0.35486111111111113</v>
      </c>
      <c r="M1719" s="3" t="s">
        <v>200</v>
      </c>
      <c r="N1719" s="3" t="s">
        <v>24</v>
      </c>
      <c r="O1719" s="3" t="s">
        <v>25</v>
      </c>
    </row>
    <row r="1720" spans="1:15">
      <c r="A1720" s="3" t="s">
        <v>15</v>
      </c>
      <c r="B1720" s="3" t="str">
        <f>"FES1162741601"</f>
        <v>FES1162741601</v>
      </c>
      <c r="C1720" s="3" t="s">
        <v>1190</v>
      </c>
      <c r="D1720" s="3">
        <v>1</v>
      </c>
      <c r="E1720" s="3" t="str">
        <f>"2170733141"</f>
        <v>2170733141</v>
      </c>
      <c r="F1720" s="3" t="s">
        <v>17</v>
      </c>
      <c r="G1720" s="3" t="s">
        <v>18</v>
      </c>
      <c r="H1720" s="3" t="s">
        <v>19</v>
      </c>
      <c r="I1720" s="3" t="s">
        <v>236</v>
      </c>
      <c r="J1720" s="3" t="s">
        <v>257</v>
      </c>
      <c r="K1720" s="3" t="s">
        <v>1228</v>
      </c>
      <c r="L1720" s="4">
        <v>0.40486111111111112</v>
      </c>
      <c r="M1720" s="3" t="s">
        <v>1240</v>
      </c>
      <c r="N1720" s="3" t="s">
        <v>24</v>
      </c>
      <c r="O1720" s="3" t="s">
        <v>25</v>
      </c>
    </row>
    <row r="1721" spans="1:15">
      <c r="A1721" s="3" t="s">
        <v>15</v>
      </c>
      <c r="B1721" s="3" t="str">
        <f>"FES1162741597"</f>
        <v>FES1162741597</v>
      </c>
      <c r="C1721" s="3" t="s">
        <v>1190</v>
      </c>
      <c r="D1721" s="3">
        <v>1</v>
      </c>
      <c r="E1721" s="3" t="str">
        <f>"2170733136"</f>
        <v>2170733136</v>
      </c>
      <c r="F1721" s="3" t="s">
        <v>17</v>
      </c>
      <c r="G1721" s="3" t="s">
        <v>18</v>
      </c>
      <c r="H1721" s="3" t="s">
        <v>19</v>
      </c>
      <c r="I1721" s="3" t="s">
        <v>20</v>
      </c>
      <c r="J1721" s="3" t="s">
        <v>84</v>
      </c>
      <c r="K1721" s="3" t="s">
        <v>1228</v>
      </c>
      <c r="L1721" s="4">
        <v>0.39999999999999997</v>
      </c>
      <c r="M1721" s="3" t="s">
        <v>85</v>
      </c>
      <c r="N1721" s="3" t="s">
        <v>24</v>
      </c>
      <c r="O1721" s="3" t="s">
        <v>25</v>
      </c>
    </row>
    <row r="1722" spans="1:15">
      <c r="A1722" s="3" t="s">
        <v>15</v>
      </c>
      <c r="B1722" s="3" t="str">
        <f>"FES1162741616"</f>
        <v>FES1162741616</v>
      </c>
      <c r="C1722" s="3" t="s">
        <v>1190</v>
      </c>
      <c r="D1722" s="3">
        <v>1</v>
      </c>
      <c r="E1722" s="3" t="str">
        <f>"2170733156"</f>
        <v>2170733156</v>
      </c>
      <c r="F1722" s="3" t="s">
        <v>17</v>
      </c>
      <c r="G1722" s="3" t="s">
        <v>18</v>
      </c>
      <c r="H1722" s="3" t="s">
        <v>19</v>
      </c>
      <c r="I1722" s="3" t="s">
        <v>20</v>
      </c>
      <c r="J1722" s="3" t="s">
        <v>21</v>
      </c>
      <c r="K1722" s="3" t="s">
        <v>1228</v>
      </c>
      <c r="L1722" s="4">
        <v>0.35069444444444442</v>
      </c>
      <c r="M1722" s="3" t="s">
        <v>843</v>
      </c>
      <c r="N1722" s="3" t="s">
        <v>24</v>
      </c>
      <c r="O1722" s="3" t="s">
        <v>25</v>
      </c>
    </row>
    <row r="1723" spans="1:15">
      <c r="A1723" s="3" t="s">
        <v>15</v>
      </c>
      <c r="B1723" s="3" t="str">
        <f>"FES1162741615"</f>
        <v>FES1162741615</v>
      </c>
      <c r="C1723" s="3" t="s">
        <v>1190</v>
      </c>
      <c r="D1723" s="3">
        <v>1</v>
      </c>
      <c r="E1723" s="3" t="str">
        <f>"2170733155"</f>
        <v>2170733155</v>
      </c>
      <c r="F1723" s="3" t="s">
        <v>17</v>
      </c>
      <c r="G1723" s="3" t="s">
        <v>18</v>
      </c>
      <c r="H1723" s="3" t="s">
        <v>70</v>
      </c>
      <c r="I1723" s="3" t="s">
        <v>507</v>
      </c>
      <c r="J1723" s="3" t="s">
        <v>821</v>
      </c>
      <c r="K1723" s="3" t="s">
        <v>1228</v>
      </c>
      <c r="L1723" s="4">
        <v>0.48680555555555555</v>
      </c>
      <c r="M1723" s="3" t="s">
        <v>1565</v>
      </c>
      <c r="N1723" s="3" t="s">
        <v>24</v>
      </c>
      <c r="O1723" s="3" t="s">
        <v>25</v>
      </c>
    </row>
    <row r="1724" spans="1:15">
      <c r="A1724" s="3" t="s">
        <v>15</v>
      </c>
      <c r="B1724" s="3" t="str">
        <f>"FES1162741546"</f>
        <v>FES1162741546</v>
      </c>
      <c r="C1724" s="3" t="s">
        <v>1190</v>
      </c>
      <c r="D1724" s="3">
        <v>1</v>
      </c>
      <c r="E1724" s="3" t="str">
        <f>"2170732800"</f>
        <v>2170732800</v>
      </c>
      <c r="F1724" s="3" t="s">
        <v>17</v>
      </c>
      <c r="G1724" s="3" t="s">
        <v>18</v>
      </c>
      <c r="H1724" s="3" t="s">
        <v>18</v>
      </c>
      <c r="I1724" s="3" t="s">
        <v>29</v>
      </c>
      <c r="J1724" s="3" t="s">
        <v>1375</v>
      </c>
      <c r="K1724" s="3" t="s">
        <v>1228</v>
      </c>
      <c r="L1724" s="4">
        <v>0.30555555555555552</v>
      </c>
      <c r="M1724" s="3" t="s">
        <v>1566</v>
      </c>
      <c r="N1724" s="3" t="s">
        <v>24</v>
      </c>
      <c r="O1724" s="3" t="s">
        <v>25</v>
      </c>
    </row>
    <row r="1725" spans="1:15">
      <c r="A1725" s="3" t="s">
        <v>15</v>
      </c>
      <c r="B1725" s="3" t="str">
        <f>"FES1162741536"</f>
        <v>FES1162741536</v>
      </c>
      <c r="C1725" s="3" t="s">
        <v>1190</v>
      </c>
      <c r="D1725" s="3">
        <v>1</v>
      </c>
      <c r="E1725" s="3" t="str">
        <f>"2170731962"</f>
        <v>2170731962</v>
      </c>
      <c r="F1725" s="3" t="s">
        <v>17</v>
      </c>
      <c r="G1725" s="3" t="s">
        <v>18</v>
      </c>
      <c r="H1725" s="3" t="s">
        <v>18</v>
      </c>
      <c r="I1725" s="3" t="s">
        <v>171</v>
      </c>
      <c r="J1725" s="3" t="s">
        <v>197</v>
      </c>
      <c r="K1725" s="3" t="s">
        <v>1228</v>
      </c>
      <c r="L1725" s="4">
        <v>0.33749999999999997</v>
      </c>
      <c r="M1725" s="3" t="s">
        <v>182</v>
      </c>
      <c r="N1725" s="3" t="s">
        <v>24</v>
      </c>
      <c r="O1725" s="3" t="s">
        <v>25</v>
      </c>
    </row>
    <row r="1726" spans="1:15">
      <c r="A1726" s="3" t="s">
        <v>15</v>
      </c>
      <c r="B1726" s="3" t="str">
        <f>"FES1162741547"</f>
        <v>FES1162741547</v>
      </c>
      <c r="C1726" s="3" t="s">
        <v>1190</v>
      </c>
      <c r="D1726" s="3">
        <v>1</v>
      </c>
      <c r="E1726" s="3" t="str">
        <f>"2170732806"</f>
        <v>2170732806</v>
      </c>
      <c r="F1726" s="3" t="s">
        <v>17</v>
      </c>
      <c r="G1726" s="3" t="s">
        <v>18</v>
      </c>
      <c r="H1726" s="3" t="s">
        <v>18</v>
      </c>
      <c r="I1726" s="3" t="s">
        <v>33</v>
      </c>
      <c r="J1726" s="3" t="s">
        <v>34</v>
      </c>
      <c r="K1726" s="3" t="s">
        <v>1228</v>
      </c>
      <c r="L1726" s="4">
        <v>0.42638888888888887</v>
      </c>
      <c r="M1726" s="3" t="s">
        <v>1423</v>
      </c>
      <c r="N1726" s="3" t="s">
        <v>24</v>
      </c>
      <c r="O1726" s="3" t="s">
        <v>25</v>
      </c>
    </row>
    <row r="1727" spans="1:15">
      <c r="A1727" s="3" t="s">
        <v>15</v>
      </c>
      <c r="B1727" s="3" t="str">
        <f>"FES1162741526"</f>
        <v>FES1162741526</v>
      </c>
      <c r="C1727" s="3" t="s">
        <v>1190</v>
      </c>
      <c r="D1727" s="3">
        <v>1</v>
      </c>
      <c r="E1727" s="3" t="str">
        <f>"2170733082"</f>
        <v>2170733082</v>
      </c>
      <c r="F1727" s="3" t="s">
        <v>17</v>
      </c>
      <c r="G1727" s="3" t="s">
        <v>18</v>
      </c>
      <c r="H1727" s="3" t="s">
        <v>18</v>
      </c>
      <c r="I1727" s="3" t="s">
        <v>171</v>
      </c>
      <c r="J1727" s="3" t="s">
        <v>204</v>
      </c>
      <c r="K1727" s="3" t="s">
        <v>1228</v>
      </c>
      <c r="L1727" s="4">
        <v>0.375</v>
      </c>
      <c r="M1727" s="3" t="s">
        <v>691</v>
      </c>
      <c r="N1727" s="3" t="s">
        <v>24</v>
      </c>
      <c r="O1727" s="3" t="s">
        <v>25</v>
      </c>
    </row>
    <row r="1728" spans="1:15">
      <c r="A1728" s="3" t="s">
        <v>15</v>
      </c>
      <c r="B1728" s="3" t="str">
        <f>"FES1162741619"</f>
        <v>FES1162741619</v>
      </c>
      <c r="C1728" s="3" t="s">
        <v>1190</v>
      </c>
      <c r="D1728" s="3">
        <v>1</v>
      </c>
      <c r="E1728" s="3" t="str">
        <f>"2170733159"</f>
        <v>2170733159</v>
      </c>
      <c r="F1728" s="3" t="s">
        <v>17</v>
      </c>
      <c r="G1728" s="3" t="s">
        <v>18</v>
      </c>
      <c r="H1728" s="3" t="s">
        <v>70</v>
      </c>
      <c r="I1728" s="3" t="s">
        <v>507</v>
      </c>
      <c r="J1728" s="3" t="s">
        <v>821</v>
      </c>
      <c r="K1728" s="3" t="s">
        <v>1228</v>
      </c>
      <c r="L1728" s="4">
        <v>0.4861111111111111</v>
      </c>
      <c r="M1728" s="3" t="s">
        <v>1565</v>
      </c>
      <c r="N1728" s="3" t="s">
        <v>24</v>
      </c>
      <c r="O1728" s="3" t="s">
        <v>25</v>
      </c>
    </row>
    <row r="1729" spans="1:15">
      <c r="A1729" s="3" t="s">
        <v>15</v>
      </c>
      <c r="B1729" s="3" t="str">
        <f>"FES1162741605"</f>
        <v>FES1162741605</v>
      </c>
      <c r="C1729" s="3" t="s">
        <v>1190</v>
      </c>
      <c r="D1729" s="3">
        <v>1</v>
      </c>
      <c r="E1729" s="3" t="str">
        <f>"2170729189"</f>
        <v>2170729189</v>
      </c>
      <c r="F1729" s="3" t="s">
        <v>17</v>
      </c>
      <c r="G1729" s="3" t="s">
        <v>18</v>
      </c>
      <c r="H1729" s="3" t="s">
        <v>18</v>
      </c>
      <c r="I1729" s="3" t="s">
        <v>206</v>
      </c>
      <c r="J1729" s="3" t="s">
        <v>207</v>
      </c>
      <c r="K1729" s="3" t="s">
        <v>1228</v>
      </c>
      <c r="L1729" s="4">
        <v>0.33333333333333331</v>
      </c>
      <c r="M1729" s="3" t="s">
        <v>1433</v>
      </c>
      <c r="N1729" s="3" t="s">
        <v>24</v>
      </c>
      <c r="O1729" s="3" t="s">
        <v>25</v>
      </c>
    </row>
    <row r="1730" spans="1:15">
      <c r="A1730" s="3" t="s">
        <v>15</v>
      </c>
      <c r="B1730" s="3" t="str">
        <f>"FES1162741572"</f>
        <v>FES1162741572</v>
      </c>
      <c r="C1730" s="3" t="s">
        <v>1190</v>
      </c>
      <c r="D1730" s="3">
        <v>1</v>
      </c>
      <c r="E1730" s="3" t="str">
        <f>"2170732295"</f>
        <v>2170732295</v>
      </c>
      <c r="F1730" s="3" t="s">
        <v>17</v>
      </c>
      <c r="G1730" s="3" t="s">
        <v>18</v>
      </c>
      <c r="H1730" s="3" t="s">
        <v>18</v>
      </c>
      <c r="I1730" s="3" t="s">
        <v>33</v>
      </c>
      <c r="J1730" s="3" t="s">
        <v>34</v>
      </c>
      <c r="K1730" s="3" t="s">
        <v>1228</v>
      </c>
      <c r="L1730" s="4">
        <v>0.42499999999999999</v>
      </c>
      <c r="M1730" s="3" t="s">
        <v>1423</v>
      </c>
      <c r="N1730" s="3" t="s">
        <v>24</v>
      </c>
      <c r="O1730" s="3" t="s">
        <v>25</v>
      </c>
    </row>
    <row r="1731" spans="1:15">
      <c r="A1731" s="3" t="s">
        <v>15</v>
      </c>
      <c r="B1731" s="3" t="str">
        <f>"FES1162741577"</f>
        <v>FES1162741577</v>
      </c>
      <c r="C1731" s="3" t="s">
        <v>1190</v>
      </c>
      <c r="D1731" s="3">
        <v>1</v>
      </c>
      <c r="E1731" s="3" t="str">
        <f>"2170733109"</f>
        <v>2170733109</v>
      </c>
      <c r="F1731" s="3" t="s">
        <v>17</v>
      </c>
      <c r="G1731" s="3" t="s">
        <v>18</v>
      </c>
      <c r="H1731" s="3" t="s">
        <v>18</v>
      </c>
      <c r="I1731" s="3" t="s">
        <v>309</v>
      </c>
      <c r="J1731" s="3" t="s">
        <v>278</v>
      </c>
      <c r="K1731" s="3" t="s">
        <v>1228</v>
      </c>
      <c r="L1731" s="4">
        <v>0.35486111111111113</v>
      </c>
      <c r="M1731" s="3" t="s">
        <v>815</v>
      </c>
      <c r="N1731" s="3" t="s">
        <v>24</v>
      </c>
      <c r="O1731" s="3" t="s">
        <v>25</v>
      </c>
    </row>
    <row r="1732" spans="1:15">
      <c r="A1732" s="3" t="s">
        <v>15</v>
      </c>
      <c r="B1732" s="3" t="str">
        <f>"FES1162741583"</f>
        <v>FES1162741583</v>
      </c>
      <c r="C1732" s="3" t="s">
        <v>1190</v>
      </c>
      <c r="D1732" s="3">
        <v>1</v>
      </c>
      <c r="E1732" s="3" t="str">
        <f>"2170733188"</f>
        <v>2170733188</v>
      </c>
      <c r="F1732" s="3" t="s">
        <v>17</v>
      </c>
      <c r="G1732" s="3" t="s">
        <v>18</v>
      </c>
      <c r="H1732" s="3" t="s">
        <v>19</v>
      </c>
      <c r="I1732" s="3" t="s">
        <v>20</v>
      </c>
      <c r="J1732" s="3" t="s">
        <v>1567</v>
      </c>
      <c r="K1732" s="3" t="s">
        <v>1228</v>
      </c>
      <c r="L1732" s="4">
        <v>0.4368055555555555</v>
      </c>
      <c r="M1732" s="3" t="s">
        <v>1568</v>
      </c>
      <c r="N1732" s="3" t="s">
        <v>24</v>
      </c>
      <c r="O1732" s="3" t="s">
        <v>25</v>
      </c>
    </row>
    <row r="1733" spans="1:15">
      <c r="A1733" s="3" t="s">
        <v>15</v>
      </c>
      <c r="B1733" s="3" t="str">
        <f>"FES1162741598"</f>
        <v>FES1162741598</v>
      </c>
      <c r="C1733" s="3" t="s">
        <v>1190</v>
      </c>
      <c r="D1733" s="3">
        <v>1</v>
      </c>
      <c r="E1733" s="3" t="str">
        <f>"2170733137"</f>
        <v>2170733137</v>
      </c>
      <c r="F1733" s="3" t="s">
        <v>17</v>
      </c>
      <c r="G1733" s="3" t="s">
        <v>18</v>
      </c>
      <c r="H1733" s="3" t="s">
        <v>70</v>
      </c>
      <c r="I1733" s="3" t="s">
        <v>931</v>
      </c>
      <c r="J1733" s="3" t="s">
        <v>1569</v>
      </c>
      <c r="K1733" s="3" t="s">
        <v>1228</v>
      </c>
      <c r="L1733" s="4">
        <v>0.51597222222222217</v>
      </c>
      <c r="M1733" s="3" t="s">
        <v>1570</v>
      </c>
      <c r="N1733" s="3" t="s">
        <v>24</v>
      </c>
      <c r="O1733" s="3" t="s">
        <v>25</v>
      </c>
    </row>
    <row r="1734" spans="1:15">
      <c r="A1734" s="3" t="s">
        <v>15</v>
      </c>
      <c r="B1734" s="3" t="str">
        <f>"FES1162741614"</f>
        <v>FES1162741614</v>
      </c>
      <c r="C1734" s="3" t="s">
        <v>1190</v>
      </c>
      <c r="D1734" s="3">
        <v>1</v>
      </c>
      <c r="E1734" s="3" t="str">
        <f>"2170733153"</f>
        <v>2170733153</v>
      </c>
      <c r="F1734" s="3" t="s">
        <v>17</v>
      </c>
      <c r="G1734" s="3" t="s">
        <v>18</v>
      </c>
      <c r="H1734" s="3" t="s">
        <v>36</v>
      </c>
      <c r="I1734" s="3" t="s">
        <v>37</v>
      </c>
      <c r="J1734" s="3" t="s">
        <v>54</v>
      </c>
      <c r="K1734" s="3" t="s">
        <v>1228</v>
      </c>
      <c r="L1734" s="4">
        <v>0.41666666666666669</v>
      </c>
      <c r="M1734" s="3" t="s">
        <v>55</v>
      </c>
      <c r="N1734" s="3" t="s">
        <v>24</v>
      </c>
      <c r="O1734" s="3" t="s">
        <v>25</v>
      </c>
    </row>
    <row r="1735" spans="1:15">
      <c r="A1735" s="3" t="s">
        <v>15</v>
      </c>
      <c r="B1735" s="3" t="str">
        <f>"FES1162741602"</f>
        <v>FES1162741602</v>
      </c>
      <c r="C1735" s="3" t="s">
        <v>1190</v>
      </c>
      <c r="D1735" s="3">
        <v>1</v>
      </c>
      <c r="E1735" s="3" t="str">
        <f>"2170729490"</f>
        <v>2170729490</v>
      </c>
      <c r="F1735" s="3" t="s">
        <v>17</v>
      </c>
      <c r="G1735" s="3" t="s">
        <v>18</v>
      </c>
      <c r="H1735" s="3" t="s">
        <v>18</v>
      </c>
      <c r="I1735" s="3" t="s">
        <v>206</v>
      </c>
      <c r="J1735" s="3" t="s">
        <v>207</v>
      </c>
      <c r="K1735" s="3" t="s">
        <v>1228</v>
      </c>
      <c r="L1735" s="4">
        <v>0.33333333333333331</v>
      </c>
      <c r="M1735" s="3" t="s">
        <v>1433</v>
      </c>
      <c r="N1735" s="3" t="s">
        <v>24</v>
      </c>
      <c r="O1735" s="3" t="s">
        <v>25</v>
      </c>
    </row>
    <row r="1736" spans="1:15">
      <c r="A1736" s="3" t="s">
        <v>15</v>
      </c>
      <c r="B1736" s="3" t="str">
        <f>"FES1162741607"</f>
        <v>FES1162741607</v>
      </c>
      <c r="C1736" s="3" t="s">
        <v>1190</v>
      </c>
      <c r="D1736" s="3">
        <v>1</v>
      </c>
      <c r="E1736" s="3" t="str">
        <f>"2170729789"</f>
        <v>2170729789</v>
      </c>
      <c r="F1736" s="3" t="s">
        <v>17</v>
      </c>
      <c r="G1736" s="3" t="s">
        <v>18</v>
      </c>
      <c r="H1736" s="3" t="s">
        <v>18</v>
      </c>
      <c r="I1736" s="3" t="s">
        <v>171</v>
      </c>
      <c r="J1736" s="3" t="s">
        <v>197</v>
      </c>
      <c r="K1736" s="3" t="s">
        <v>1228</v>
      </c>
      <c r="L1736" s="4">
        <v>0.33749999999999997</v>
      </c>
      <c r="M1736" s="3" t="s">
        <v>182</v>
      </c>
      <c r="N1736" s="3" t="s">
        <v>24</v>
      </c>
      <c r="O1736" s="3" t="s">
        <v>25</v>
      </c>
    </row>
    <row r="1737" spans="1:15">
      <c r="A1737" s="3" t="s">
        <v>15</v>
      </c>
      <c r="B1737" s="3" t="str">
        <f>"009939728151"</f>
        <v>009939728151</v>
      </c>
      <c r="C1737" s="3" t="s">
        <v>1190</v>
      </c>
      <c r="D1737" s="3">
        <v>1</v>
      </c>
      <c r="E1737" s="3" t="str">
        <f>"JNB1912050227"</f>
        <v>JNB1912050227</v>
      </c>
      <c r="F1737" s="3" t="s">
        <v>528</v>
      </c>
      <c r="G1737" s="3" t="s">
        <v>36</v>
      </c>
      <c r="H1737" s="3" t="s">
        <v>18</v>
      </c>
      <c r="I1737" s="3" t="s">
        <v>29</v>
      </c>
      <c r="J1737" s="3" t="s">
        <v>529</v>
      </c>
      <c r="K1737" s="3" t="s">
        <v>1228</v>
      </c>
      <c r="L1737" s="4">
        <v>0.33749999999999997</v>
      </c>
      <c r="M1737" s="3" t="s">
        <v>1571</v>
      </c>
      <c r="N1737" s="3" t="s">
        <v>24</v>
      </c>
      <c r="O1737" s="3" t="s">
        <v>25</v>
      </c>
    </row>
    <row r="1738" spans="1:15">
      <c r="A1738" s="3" t="s">
        <v>15</v>
      </c>
      <c r="B1738" s="3" t="str">
        <f>"FES1162741733"</f>
        <v>FES1162741733</v>
      </c>
      <c r="C1738" s="3" t="s">
        <v>1228</v>
      </c>
      <c r="D1738" s="3">
        <v>0</v>
      </c>
      <c r="E1738" s="3" t="str">
        <f>"2170731450"</f>
        <v>2170731450</v>
      </c>
      <c r="F1738" s="3" t="s">
        <v>17</v>
      </c>
      <c r="G1738" s="3" t="s">
        <v>18</v>
      </c>
      <c r="H1738" s="3" t="s">
        <v>100</v>
      </c>
      <c r="I1738" s="3" t="s">
        <v>117</v>
      </c>
      <c r="J1738" s="3" t="s">
        <v>285</v>
      </c>
      <c r="K1738" s="3" t="s">
        <v>1572</v>
      </c>
      <c r="L1738" s="4">
        <v>0.41666666666666669</v>
      </c>
      <c r="M1738" s="3" t="s">
        <v>1573</v>
      </c>
      <c r="N1738" s="3" t="s">
        <v>24</v>
      </c>
      <c r="O1738" s="3" t="s">
        <v>25</v>
      </c>
    </row>
    <row r="1739" spans="1:15">
      <c r="A1739" s="3" t="s">
        <v>15</v>
      </c>
      <c r="B1739" s="3" t="str">
        <f>"FES1162741630"</f>
        <v>FES1162741630</v>
      </c>
      <c r="C1739" s="3" t="s">
        <v>1228</v>
      </c>
      <c r="D1739" s="3">
        <v>0</v>
      </c>
      <c r="E1739" s="3" t="str">
        <f>"2170732840"</f>
        <v>2170732840</v>
      </c>
      <c r="F1739" s="3" t="s">
        <v>17</v>
      </c>
      <c r="G1739" s="3" t="s">
        <v>18</v>
      </c>
      <c r="H1739" s="3" t="s">
        <v>100</v>
      </c>
      <c r="I1739" s="3" t="s">
        <v>117</v>
      </c>
      <c r="J1739" s="3" t="s">
        <v>335</v>
      </c>
      <c r="K1739" s="3" t="s">
        <v>1572</v>
      </c>
      <c r="L1739" s="4">
        <v>0.41666666666666669</v>
      </c>
      <c r="M1739" s="3" t="s">
        <v>1387</v>
      </c>
      <c r="N1739" s="3" t="s">
        <v>24</v>
      </c>
      <c r="O1739" s="3" t="s">
        <v>25</v>
      </c>
    </row>
    <row r="1740" spans="1:15">
      <c r="A1740" s="5" t="s">
        <v>15</v>
      </c>
      <c r="B1740" s="5" t="str">
        <f>"FES1162741740"</f>
        <v>FES1162741740</v>
      </c>
      <c r="C1740" s="5" t="s">
        <v>1228</v>
      </c>
      <c r="D1740" s="5">
        <v>0</v>
      </c>
      <c r="E1740" s="5" t="str">
        <f>"2170731347"</f>
        <v>2170731347</v>
      </c>
      <c r="F1740" s="5" t="s">
        <v>17</v>
      </c>
      <c r="G1740" s="5" t="s">
        <v>18</v>
      </c>
      <c r="H1740" s="5" t="s">
        <v>19</v>
      </c>
      <c r="I1740" s="5" t="s">
        <v>51</v>
      </c>
      <c r="J1740" s="5" t="s">
        <v>458</v>
      </c>
      <c r="K1740" s="5" t="s">
        <v>1572</v>
      </c>
      <c r="L1740" s="6">
        <v>0.42152777777777778</v>
      </c>
      <c r="M1740" s="5" t="s">
        <v>1574</v>
      </c>
      <c r="N1740" s="3" t="s">
        <v>24</v>
      </c>
      <c r="O1740" s="5" t="s">
        <v>25</v>
      </c>
    </row>
    <row r="1741" spans="1:15">
      <c r="A1741" s="5" t="s">
        <v>15</v>
      </c>
      <c r="B1741" s="5" t="str">
        <f>"FES1162741779"</f>
        <v>FES1162741779</v>
      </c>
      <c r="C1741" s="5" t="s">
        <v>1228</v>
      </c>
      <c r="D1741" s="5">
        <v>0</v>
      </c>
      <c r="E1741" s="5" t="str">
        <f>"2170733288"</f>
        <v>2170733288</v>
      </c>
      <c r="F1741" s="5" t="s">
        <v>17</v>
      </c>
      <c r="G1741" s="5" t="s">
        <v>18</v>
      </c>
      <c r="H1741" s="5" t="s">
        <v>100</v>
      </c>
      <c r="I1741" s="5" t="s">
        <v>101</v>
      </c>
      <c r="J1741" s="5" t="s">
        <v>131</v>
      </c>
      <c r="K1741" s="5" t="s">
        <v>1572</v>
      </c>
      <c r="L1741" s="6">
        <v>0.35972222222222222</v>
      </c>
      <c r="M1741" s="5" t="s">
        <v>132</v>
      </c>
      <c r="N1741" s="3" t="s">
        <v>24</v>
      </c>
      <c r="O1741" s="5" t="s">
        <v>25</v>
      </c>
    </row>
    <row r="1742" spans="1:15">
      <c r="A1742" s="5" t="s">
        <v>15</v>
      </c>
      <c r="B1742" s="5" t="str">
        <f>"FES1162741644"</f>
        <v>FES1162741644</v>
      </c>
      <c r="C1742" s="5" t="s">
        <v>1228</v>
      </c>
      <c r="D1742" s="5">
        <v>0</v>
      </c>
      <c r="E1742" s="5" t="str">
        <f>"2170733178"</f>
        <v>2170733178</v>
      </c>
      <c r="F1742" s="5" t="s">
        <v>17</v>
      </c>
      <c r="G1742" s="5" t="s">
        <v>18</v>
      </c>
      <c r="H1742" s="5" t="s">
        <v>36</v>
      </c>
      <c r="I1742" s="5" t="s">
        <v>1440</v>
      </c>
      <c r="J1742" s="5" t="s">
        <v>1441</v>
      </c>
      <c r="K1742" s="5" t="s">
        <v>1572</v>
      </c>
      <c r="L1742" s="6">
        <v>0.68611111111111101</v>
      </c>
      <c r="M1742" s="5" t="s">
        <v>1575</v>
      </c>
      <c r="N1742" s="3" t="s">
        <v>24</v>
      </c>
      <c r="O1742" s="5" t="s">
        <v>25</v>
      </c>
    </row>
    <row r="1743" spans="1:15">
      <c r="A1743" s="5" t="s">
        <v>15</v>
      </c>
      <c r="B1743" s="5" t="str">
        <f>"FES1162741669"</f>
        <v>FES1162741669</v>
      </c>
      <c r="C1743" s="5" t="s">
        <v>1228</v>
      </c>
      <c r="D1743" s="5">
        <v>0</v>
      </c>
      <c r="E1743" s="5" t="str">
        <f>"2170733203"</f>
        <v>2170733203</v>
      </c>
      <c r="F1743" s="5" t="s">
        <v>17</v>
      </c>
      <c r="G1743" s="5" t="s">
        <v>18</v>
      </c>
      <c r="H1743" s="5" t="s">
        <v>100</v>
      </c>
      <c r="I1743" s="5" t="s">
        <v>262</v>
      </c>
      <c r="J1743" s="5" t="s">
        <v>409</v>
      </c>
      <c r="K1743" s="5" t="s">
        <v>1572</v>
      </c>
      <c r="L1743" s="6">
        <v>0.68611111111111101</v>
      </c>
      <c r="M1743" s="5" t="s">
        <v>1388</v>
      </c>
      <c r="N1743" s="3" t="s">
        <v>24</v>
      </c>
      <c r="O1743" s="5" t="s">
        <v>25</v>
      </c>
    </row>
    <row r="1744" spans="1:15">
      <c r="A1744" s="5" t="s">
        <v>15</v>
      </c>
      <c r="B1744" s="5" t="str">
        <f>"FES1162741700"</f>
        <v>FES1162741700</v>
      </c>
      <c r="C1744" s="5" t="s">
        <v>1228</v>
      </c>
      <c r="D1744" s="5">
        <v>1</v>
      </c>
      <c r="E1744" s="5" t="str">
        <f>"2170731519"</f>
        <v>2170731519</v>
      </c>
      <c r="F1744" s="5" t="s">
        <v>17</v>
      </c>
      <c r="G1744" s="5" t="s">
        <v>18</v>
      </c>
      <c r="H1744" s="5" t="s">
        <v>100</v>
      </c>
      <c r="I1744" s="5" t="s">
        <v>122</v>
      </c>
      <c r="J1744" s="5" t="s">
        <v>123</v>
      </c>
      <c r="K1744" s="5" t="s">
        <v>1572</v>
      </c>
      <c r="L1744" s="6">
        <v>0.49236111111111108</v>
      </c>
      <c r="M1744" s="5" t="s">
        <v>1576</v>
      </c>
      <c r="N1744" s="3" t="s">
        <v>24</v>
      </c>
      <c r="O1744" s="5" t="s">
        <v>25</v>
      </c>
    </row>
    <row r="1745" spans="1:15">
      <c r="A1745" s="5" t="s">
        <v>15</v>
      </c>
      <c r="B1745" s="5" t="str">
        <f>"FES1162741743"</f>
        <v>FES1162741743</v>
      </c>
      <c r="C1745" s="5" t="s">
        <v>1228</v>
      </c>
      <c r="D1745" s="5">
        <v>1</v>
      </c>
      <c r="E1745" s="5" t="str">
        <f>"2170733256"</f>
        <v>2170733256</v>
      </c>
      <c r="F1745" s="5" t="s">
        <v>17</v>
      </c>
      <c r="G1745" s="5" t="s">
        <v>18</v>
      </c>
      <c r="H1745" s="5" t="s">
        <v>100</v>
      </c>
      <c r="I1745" s="5" t="s">
        <v>101</v>
      </c>
      <c r="J1745" s="5" t="s">
        <v>1577</v>
      </c>
      <c r="K1745" s="5" t="s">
        <v>1572</v>
      </c>
      <c r="L1745" s="6">
        <v>0.35902777777777778</v>
      </c>
      <c r="M1745" s="5" t="s">
        <v>1578</v>
      </c>
      <c r="N1745" s="3" t="s">
        <v>24</v>
      </c>
      <c r="O1745" s="5" t="s">
        <v>25</v>
      </c>
    </row>
    <row r="1746" spans="1:15">
      <c r="A1746" s="5" t="s">
        <v>15</v>
      </c>
      <c r="B1746" s="5" t="str">
        <f>"FES1162741763"</f>
        <v>FES1162741763</v>
      </c>
      <c r="C1746" s="5" t="s">
        <v>1228</v>
      </c>
      <c r="D1746" s="5">
        <v>0</v>
      </c>
      <c r="E1746" s="5" t="str">
        <f>"2170733267"</f>
        <v>2170733267</v>
      </c>
      <c r="F1746" s="5" t="s">
        <v>17</v>
      </c>
      <c r="G1746" s="5" t="s">
        <v>18</v>
      </c>
      <c r="H1746" s="5" t="s">
        <v>36</v>
      </c>
      <c r="I1746" s="5" t="s">
        <v>37</v>
      </c>
      <c r="J1746" s="5" t="s">
        <v>1579</v>
      </c>
      <c r="K1746" s="5" t="s">
        <v>1572</v>
      </c>
      <c r="L1746" s="6">
        <v>0.37777777777777777</v>
      </c>
      <c r="M1746" s="5" t="s">
        <v>1580</v>
      </c>
      <c r="N1746" s="3" t="s">
        <v>24</v>
      </c>
      <c r="O1746" s="5" t="s">
        <v>25</v>
      </c>
    </row>
    <row r="1747" spans="1:15">
      <c r="A1747" s="5" t="s">
        <v>15</v>
      </c>
      <c r="B1747" s="5" t="str">
        <f>"FES1162741580"</f>
        <v>FES1162741580</v>
      </c>
      <c r="C1747" s="5" t="s">
        <v>1228</v>
      </c>
      <c r="D1747" s="5">
        <v>0</v>
      </c>
      <c r="E1747" s="5" t="str">
        <f>"2170733124"</f>
        <v>2170733124</v>
      </c>
      <c r="F1747" s="5" t="s">
        <v>17</v>
      </c>
      <c r="G1747" s="5" t="s">
        <v>18</v>
      </c>
      <c r="H1747" s="5" t="s">
        <v>18</v>
      </c>
      <c r="I1747" s="5" t="s">
        <v>151</v>
      </c>
      <c r="J1747" s="5" t="s">
        <v>770</v>
      </c>
      <c r="K1747" s="5" t="s">
        <v>1572</v>
      </c>
      <c r="L1747" s="6">
        <v>0.4375</v>
      </c>
      <c r="M1747" s="5" t="s">
        <v>1581</v>
      </c>
      <c r="N1747" s="3" t="s">
        <v>24</v>
      </c>
      <c r="O1747" s="5" t="s">
        <v>25</v>
      </c>
    </row>
    <row r="1748" spans="1:15">
      <c r="A1748" s="5" t="s">
        <v>15</v>
      </c>
      <c r="B1748" s="5" t="str">
        <f>"FES1162741765"</f>
        <v>FES1162741765</v>
      </c>
      <c r="C1748" s="5" t="s">
        <v>1228</v>
      </c>
      <c r="D1748" s="5">
        <v>0</v>
      </c>
      <c r="E1748" s="5" t="str">
        <f>"2170733270"</f>
        <v>2170733270</v>
      </c>
      <c r="F1748" s="5" t="s">
        <v>17</v>
      </c>
      <c r="G1748" s="5" t="s">
        <v>18</v>
      </c>
      <c r="H1748" s="5" t="s">
        <v>18</v>
      </c>
      <c r="I1748" s="5" t="s">
        <v>33</v>
      </c>
      <c r="J1748" s="5" t="s">
        <v>1582</v>
      </c>
      <c r="K1748" s="5" t="s">
        <v>1572</v>
      </c>
      <c r="L1748" s="6">
        <v>0.33333333333333331</v>
      </c>
      <c r="M1748" s="5" t="s">
        <v>301</v>
      </c>
      <c r="N1748" s="3" t="s">
        <v>24</v>
      </c>
      <c r="O1748" s="5" t="s">
        <v>25</v>
      </c>
    </row>
    <row r="1749" spans="1:15">
      <c r="A1749" s="5" t="s">
        <v>15</v>
      </c>
      <c r="B1749" s="5" t="str">
        <f>"FES1162741719"</f>
        <v>FES1162741719</v>
      </c>
      <c r="C1749" s="5" t="s">
        <v>1228</v>
      </c>
      <c r="D1749" s="5">
        <v>0</v>
      </c>
      <c r="E1749" s="5" t="str">
        <f>"2170733253"</f>
        <v>2170733253</v>
      </c>
      <c r="F1749" s="5" t="s">
        <v>17</v>
      </c>
      <c r="G1749" s="5" t="s">
        <v>18</v>
      </c>
      <c r="H1749" s="5" t="s">
        <v>18</v>
      </c>
      <c r="I1749" s="5" t="s">
        <v>29</v>
      </c>
      <c r="J1749" s="5" t="s">
        <v>1316</v>
      </c>
      <c r="K1749" s="5" t="s">
        <v>1572</v>
      </c>
      <c r="L1749" s="6">
        <v>0.30555555555555552</v>
      </c>
      <c r="M1749" s="5" t="s">
        <v>897</v>
      </c>
      <c r="N1749" s="3" t="s">
        <v>24</v>
      </c>
      <c r="O1749" s="5" t="s">
        <v>25</v>
      </c>
    </row>
    <row r="1750" spans="1:15">
      <c r="A1750" s="3" t="s">
        <v>15</v>
      </c>
      <c r="B1750" s="3" t="str">
        <f>"FES1162741758"</f>
        <v>FES1162741758</v>
      </c>
      <c r="C1750" s="3" t="s">
        <v>1228</v>
      </c>
      <c r="D1750" s="3">
        <v>1</v>
      </c>
      <c r="E1750" s="3" t="str">
        <f>"2170731607"</f>
        <v>2170731607</v>
      </c>
      <c r="F1750" s="3" t="s">
        <v>17</v>
      </c>
      <c r="G1750" s="3" t="s">
        <v>18</v>
      </c>
      <c r="H1750" s="3" t="s">
        <v>100</v>
      </c>
      <c r="I1750" s="3" t="s">
        <v>117</v>
      </c>
      <c r="J1750" s="3" t="s">
        <v>784</v>
      </c>
      <c r="K1750" s="3" t="s">
        <v>1572</v>
      </c>
      <c r="L1750" s="4">
        <v>0.41666666666666669</v>
      </c>
      <c r="M1750" s="3" t="s">
        <v>1583</v>
      </c>
      <c r="N1750" s="3" t="s">
        <v>24</v>
      </c>
      <c r="O1750" s="3" t="s">
        <v>25</v>
      </c>
    </row>
    <row r="1751" spans="1:15">
      <c r="A1751" s="3" t="s">
        <v>15</v>
      </c>
      <c r="B1751" s="3" t="str">
        <f>"FES1162741667"</f>
        <v>FES1162741667</v>
      </c>
      <c r="C1751" s="3" t="s">
        <v>1228</v>
      </c>
      <c r="D1751" s="3">
        <v>0</v>
      </c>
      <c r="E1751" s="3" t="str">
        <f>"2170733198"</f>
        <v>2170733198</v>
      </c>
      <c r="F1751" s="3" t="s">
        <v>17</v>
      </c>
      <c r="G1751" s="3" t="s">
        <v>18</v>
      </c>
      <c r="H1751" s="3" t="s">
        <v>18</v>
      </c>
      <c r="I1751" s="3" t="s">
        <v>171</v>
      </c>
      <c r="J1751" s="3" t="s">
        <v>1584</v>
      </c>
      <c r="K1751" s="3" t="s">
        <v>1572</v>
      </c>
      <c r="L1751" s="4">
        <v>0.2673611111111111</v>
      </c>
      <c r="M1751" s="3" t="s">
        <v>1585</v>
      </c>
      <c r="N1751" s="3" t="s">
        <v>24</v>
      </c>
      <c r="O1751" s="3" t="s">
        <v>25</v>
      </c>
    </row>
    <row r="1752" spans="1:15">
      <c r="A1752" s="3" t="s">
        <v>15</v>
      </c>
      <c r="B1752" s="3" t="str">
        <f>"FES1162741707"</f>
        <v>FES1162741707</v>
      </c>
      <c r="C1752" s="3" t="s">
        <v>1228</v>
      </c>
      <c r="D1752" s="3">
        <v>1</v>
      </c>
      <c r="E1752" s="3" t="str">
        <f>"2170731091"</f>
        <v>2170731091</v>
      </c>
      <c r="F1752" s="3" t="s">
        <v>17</v>
      </c>
      <c r="G1752" s="3" t="s">
        <v>18</v>
      </c>
      <c r="H1752" s="3" t="s">
        <v>70</v>
      </c>
      <c r="I1752" s="3" t="s">
        <v>71</v>
      </c>
      <c r="J1752" s="3" t="s">
        <v>252</v>
      </c>
      <c r="K1752" s="3" t="s">
        <v>1572</v>
      </c>
      <c r="L1752" s="4">
        <v>0.34166666666666662</v>
      </c>
      <c r="M1752" s="3" t="s">
        <v>253</v>
      </c>
      <c r="N1752" s="3" t="s">
        <v>24</v>
      </c>
      <c r="O1752" s="3" t="s">
        <v>25</v>
      </c>
    </row>
    <row r="1753" spans="1:15">
      <c r="A1753" s="3" t="s">
        <v>15</v>
      </c>
      <c r="B1753" s="3" t="str">
        <f>"FES1162741567"</f>
        <v>FES1162741567</v>
      </c>
      <c r="C1753" s="3" t="s">
        <v>1228</v>
      </c>
      <c r="D1753" s="3">
        <v>0</v>
      </c>
      <c r="E1753" s="3" t="str">
        <f>"2170733103"</f>
        <v>2170733103</v>
      </c>
      <c r="F1753" s="3" t="s">
        <v>17</v>
      </c>
      <c r="G1753" s="3" t="s">
        <v>18</v>
      </c>
      <c r="H1753" s="3" t="s">
        <v>18</v>
      </c>
      <c r="I1753" s="3" t="s">
        <v>151</v>
      </c>
      <c r="J1753" s="3" t="s">
        <v>1364</v>
      </c>
      <c r="K1753" s="3" t="s">
        <v>1572</v>
      </c>
      <c r="L1753" s="4">
        <v>0.39374999999999999</v>
      </c>
      <c r="M1753" s="3" t="s">
        <v>1586</v>
      </c>
      <c r="N1753" s="3" t="s">
        <v>24</v>
      </c>
      <c r="O1753" s="3" t="s">
        <v>25</v>
      </c>
    </row>
    <row r="1754" spans="1:15">
      <c r="A1754" s="3" t="s">
        <v>15</v>
      </c>
      <c r="B1754" s="3" t="str">
        <f>"FES1162741654"</f>
        <v>FES1162741654</v>
      </c>
      <c r="C1754" s="3" t="s">
        <v>1228</v>
      </c>
      <c r="D1754" s="3">
        <v>0</v>
      </c>
      <c r="E1754" s="3" t="str">
        <f>"2170733192"</f>
        <v>2170733192</v>
      </c>
      <c r="F1754" s="3" t="s">
        <v>17</v>
      </c>
      <c r="G1754" s="3" t="s">
        <v>18</v>
      </c>
      <c r="H1754" s="3" t="s">
        <v>18</v>
      </c>
      <c r="I1754" s="3" t="s">
        <v>33</v>
      </c>
      <c r="J1754" s="3" t="s">
        <v>1587</v>
      </c>
      <c r="K1754" s="3" t="s">
        <v>1572</v>
      </c>
      <c r="L1754" s="4">
        <v>0.30763888888888891</v>
      </c>
      <c r="M1754" s="3" t="s">
        <v>1588</v>
      </c>
      <c r="N1754" s="3" t="s">
        <v>24</v>
      </c>
      <c r="O1754" s="3" t="s">
        <v>25</v>
      </c>
    </row>
    <row r="1755" spans="1:15">
      <c r="A1755" s="3" t="s">
        <v>15</v>
      </c>
      <c r="B1755" s="3" t="str">
        <f>"FES1162741626"</f>
        <v>FES1162741626</v>
      </c>
      <c r="C1755" s="3" t="s">
        <v>1228</v>
      </c>
      <c r="D1755" s="3">
        <v>0</v>
      </c>
      <c r="E1755" s="3" t="str">
        <f>"2170731968"</f>
        <v>2170731968</v>
      </c>
      <c r="F1755" s="3" t="s">
        <v>17</v>
      </c>
      <c r="G1755" s="3" t="s">
        <v>18</v>
      </c>
      <c r="H1755" s="3" t="s">
        <v>18</v>
      </c>
      <c r="I1755" s="3" t="s">
        <v>163</v>
      </c>
      <c r="J1755" s="3" t="s">
        <v>164</v>
      </c>
      <c r="K1755" s="3" t="s">
        <v>1572</v>
      </c>
      <c r="L1755" s="4">
        <v>0.4375</v>
      </c>
      <c r="M1755" s="3" t="s">
        <v>1589</v>
      </c>
      <c r="N1755" s="3" t="s">
        <v>24</v>
      </c>
      <c r="O1755" s="3" t="s">
        <v>25</v>
      </c>
    </row>
    <row r="1756" spans="1:15">
      <c r="A1756" s="3" t="s">
        <v>15</v>
      </c>
      <c r="B1756" s="3" t="str">
        <f>"FES1162741670"</f>
        <v>FES1162741670</v>
      </c>
      <c r="C1756" s="3" t="s">
        <v>1228</v>
      </c>
      <c r="D1756" s="3">
        <v>1</v>
      </c>
      <c r="E1756" s="3" t="str">
        <f>"2170733204"</f>
        <v>2170733204</v>
      </c>
      <c r="F1756" s="3" t="s">
        <v>17</v>
      </c>
      <c r="G1756" s="3" t="s">
        <v>18</v>
      </c>
      <c r="H1756" s="3" t="s">
        <v>18</v>
      </c>
      <c r="I1756" s="3" t="s">
        <v>171</v>
      </c>
      <c r="J1756" s="3" t="s">
        <v>204</v>
      </c>
      <c r="K1756" s="3" t="s">
        <v>1572</v>
      </c>
      <c r="L1756" s="4">
        <v>0.4375</v>
      </c>
      <c r="M1756" s="3" t="s">
        <v>691</v>
      </c>
      <c r="N1756" s="3" t="s">
        <v>24</v>
      </c>
      <c r="O1756" s="3" t="s">
        <v>25</v>
      </c>
    </row>
    <row r="1757" spans="1:15">
      <c r="A1757" s="3" t="s">
        <v>15</v>
      </c>
      <c r="B1757" s="3" t="str">
        <f>"FES1162741657"</f>
        <v>FES1162741657</v>
      </c>
      <c r="C1757" s="3" t="s">
        <v>1228</v>
      </c>
      <c r="D1757" s="3">
        <v>1</v>
      </c>
      <c r="E1757" s="3" t="str">
        <f>"2170728723"</f>
        <v>2170728723</v>
      </c>
      <c r="F1757" s="3" t="s">
        <v>17</v>
      </c>
      <c r="G1757" s="3" t="s">
        <v>18</v>
      </c>
      <c r="H1757" s="3" t="s">
        <v>100</v>
      </c>
      <c r="I1757" s="3" t="s">
        <v>117</v>
      </c>
      <c r="J1757" s="3" t="s">
        <v>285</v>
      </c>
      <c r="K1757" s="3" t="s">
        <v>1572</v>
      </c>
      <c r="L1757" s="4">
        <v>0.41666666666666669</v>
      </c>
      <c r="M1757" s="3" t="s">
        <v>1573</v>
      </c>
      <c r="N1757" s="3" t="s">
        <v>24</v>
      </c>
      <c r="O1757" s="3" t="s">
        <v>25</v>
      </c>
    </row>
    <row r="1758" spans="1:15">
      <c r="A1758" s="3" t="s">
        <v>15</v>
      </c>
      <c r="B1758" s="3" t="str">
        <f>"FES1162741617"</f>
        <v>FES1162741617</v>
      </c>
      <c r="C1758" s="3" t="s">
        <v>1228</v>
      </c>
      <c r="D1758" s="3">
        <v>1</v>
      </c>
      <c r="E1758" s="3" t="str">
        <f>"2170733157"</f>
        <v>2170733157</v>
      </c>
      <c r="F1758" s="3" t="s">
        <v>17</v>
      </c>
      <c r="G1758" s="3" t="s">
        <v>18</v>
      </c>
      <c r="H1758" s="3" t="s">
        <v>66</v>
      </c>
      <c r="I1758" s="3" t="s">
        <v>67</v>
      </c>
      <c r="J1758" s="3" t="s">
        <v>1380</v>
      </c>
      <c r="K1758" s="3" t="s">
        <v>1572</v>
      </c>
      <c r="L1758" s="4">
        <v>0.46875</v>
      </c>
      <c r="M1758" s="3" t="s">
        <v>1381</v>
      </c>
      <c r="N1758" s="3" t="s">
        <v>24</v>
      </c>
      <c r="O1758" s="3" t="s">
        <v>25</v>
      </c>
    </row>
    <row r="1759" spans="1:15">
      <c r="A1759" s="3" t="s">
        <v>15</v>
      </c>
      <c r="B1759" s="3" t="str">
        <f>"FES1162741692"</f>
        <v>FES1162741692</v>
      </c>
      <c r="C1759" s="3" t="s">
        <v>1228</v>
      </c>
      <c r="D1759" s="3">
        <v>1</v>
      </c>
      <c r="E1759" s="3" t="str">
        <f>"2170733240"</f>
        <v>2170733240</v>
      </c>
      <c r="F1759" s="3" t="s">
        <v>17</v>
      </c>
      <c r="G1759" s="3" t="s">
        <v>18</v>
      </c>
      <c r="H1759" s="3" t="s">
        <v>19</v>
      </c>
      <c r="I1759" s="3" t="s">
        <v>51</v>
      </c>
      <c r="J1759" s="3" t="s">
        <v>209</v>
      </c>
      <c r="K1759" s="3" t="s">
        <v>1572</v>
      </c>
      <c r="L1759" s="4">
        <v>0.36388888888888887</v>
      </c>
      <c r="M1759" s="3" t="s">
        <v>1539</v>
      </c>
      <c r="N1759" s="3" t="s">
        <v>24</v>
      </c>
      <c r="O1759" s="3" t="s">
        <v>25</v>
      </c>
    </row>
    <row r="1760" spans="1:15">
      <c r="A1760" s="3" t="s">
        <v>15</v>
      </c>
      <c r="B1760" s="3" t="str">
        <f>"FES1162741662"</f>
        <v>FES1162741662</v>
      </c>
      <c r="C1760" s="3" t="s">
        <v>1228</v>
      </c>
      <c r="D1760" s="3">
        <v>1</v>
      </c>
      <c r="E1760" s="3" t="str">
        <f>"2170730782"</f>
        <v>2170730782</v>
      </c>
      <c r="F1760" s="3" t="s">
        <v>17</v>
      </c>
      <c r="G1760" s="3" t="s">
        <v>18</v>
      </c>
      <c r="H1760" s="3" t="s">
        <v>100</v>
      </c>
      <c r="I1760" s="3" t="s">
        <v>101</v>
      </c>
      <c r="J1760" s="3" t="s">
        <v>1590</v>
      </c>
      <c r="K1760" s="3" t="s">
        <v>1572</v>
      </c>
      <c r="L1760" s="4">
        <v>0.42499999999999999</v>
      </c>
      <c r="M1760" s="3" t="s">
        <v>1591</v>
      </c>
      <c r="N1760" s="3" t="s">
        <v>24</v>
      </c>
      <c r="O1760" s="3" t="s">
        <v>25</v>
      </c>
    </row>
    <row r="1761" spans="1:15">
      <c r="A1761" s="3" t="s">
        <v>15</v>
      </c>
      <c r="B1761" s="3" t="str">
        <f>"FES1162741631"</f>
        <v>FES1162741631</v>
      </c>
      <c r="C1761" s="3" t="s">
        <v>1228</v>
      </c>
      <c r="D1761" s="3">
        <v>1</v>
      </c>
      <c r="E1761" s="3" t="str">
        <f>"2170732980"</f>
        <v>2170732980</v>
      </c>
      <c r="F1761" s="3" t="s">
        <v>17</v>
      </c>
      <c r="G1761" s="3" t="s">
        <v>18</v>
      </c>
      <c r="H1761" s="3" t="s">
        <v>19</v>
      </c>
      <c r="I1761" s="3" t="s">
        <v>20</v>
      </c>
      <c r="J1761" s="3" t="s">
        <v>446</v>
      </c>
      <c r="K1761" s="3" t="s">
        <v>1572</v>
      </c>
      <c r="L1761" s="4">
        <v>0.42499999999999999</v>
      </c>
      <c r="M1761" s="3" t="s">
        <v>1592</v>
      </c>
      <c r="N1761" s="3" t="s">
        <v>24</v>
      </c>
      <c r="O1761" s="3" t="s">
        <v>25</v>
      </c>
    </row>
    <row r="1762" spans="1:15">
      <c r="A1762" s="3" t="s">
        <v>15</v>
      </c>
      <c r="B1762" s="3" t="str">
        <f>"FES1162741730"</f>
        <v>FES1162741730</v>
      </c>
      <c r="C1762" s="3" t="s">
        <v>1228</v>
      </c>
      <c r="D1762" s="3">
        <v>1</v>
      </c>
      <c r="E1762" s="3" t="str">
        <f>"2170731506"</f>
        <v>2170731506</v>
      </c>
      <c r="F1762" s="3" t="s">
        <v>17</v>
      </c>
      <c r="G1762" s="3" t="s">
        <v>18</v>
      </c>
      <c r="H1762" s="3" t="s">
        <v>19</v>
      </c>
      <c r="I1762" s="3" t="s">
        <v>86</v>
      </c>
      <c r="J1762" s="3" t="s">
        <v>273</v>
      </c>
      <c r="K1762" s="3" t="s">
        <v>1572</v>
      </c>
      <c r="L1762" s="4">
        <v>0.3527777777777778</v>
      </c>
      <c r="M1762" s="3" t="s">
        <v>1593</v>
      </c>
      <c r="N1762" s="3" t="s">
        <v>24</v>
      </c>
      <c r="O1762" s="3" t="s">
        <v>25</v>
      </c>
    </row>
    <row r="1763" spans="1:15">
      <c r="A1763" s="3" t="s">
        <v>15</v>
      </c>
      <c r="B1763" s="3" t="str">
        <f>"FES1162741622"</f>
        <v>FES1162741622</v>
      </c>
      <c r="C1763" s="3" t="s">
        <v>1228</v>
      </c>
      <c r="D1763" s="3">
        <v>0</v>
      </c>
      <c r="E1763" s="3" t="str">
        <f>"2170733162"</f>
        <v>2170733162</v>
      </c>
      <c r="F1763" s="3" t="s">
        <v>17</v>
      </c>
      <c r="G1763" s="3" t="s">
        <v>18</v>
      </c>
      <c r="H1763" s="3" t="s">
        <v>19</v>
      </c>
      <c r="I1763" s="3" t="s">
        <v>703</v>
      </c>
      <c r="J1763" s="3" t="s">
        <v>704</v>
      </c>
      <c r="K1763" s="3" t="s">
        <v>1572</v>
      </c>
      <c r="L1763" s="4">
        <v>0.55555555555555558</v>
      </c>
      <c r="M1763" s="3" t="s">
        <v>1594</v>
      </c>
      <c r="N1763" s="3" t="s">
        <v>24</v>
      </c>
      <c r="O1763" s="3" t="s">
        <v>25</v>
      </c>
    </row>
    <row r="1764" spans="1:15">
      <c r="A1764" s="3" t="s">
        <v>15</v>
      </c>
      <c r="B1764" s="3" t="str">
        <f>"FES1162741625"</f>
        <v>FES1162741625</v>
      </c>
      <c r="C1764" s="3" t="s">
        <v>1228</v>
      </c>
      <c r="D1764" s="3">
        <v>1</v>
      </c>
      <c r="E1764" s="3" t="str">
        <f>"2170731550"</f>
        <v>2170731550</v>
      </c>
      <c r="F1764" s="3" t="s">
        <v>17</v>
      </c>
      <c r="G1764" s="3" t="s">
        <v>18</v>
      </c>
      <c r="H1764" s="3" t="s">
        <v>36</v>
      </c>
      <c r="I1764" s="3" t="s">
        <v>174</v>
      </c>
      <c r="J1764" s="3" t="s">
        <v>712</v>
      </c>
      <c r="K1764" s="3" t="s">
        <v>1572</v>
      </c>
      <c r="L1764" s="4">
        <v>0.33333333333333331</v>
      </c>
      <c r="M1764" s="3" t="s">
        <v>1222</v>
      </c>
      <c r="N1764" s="3" t="s">
        <v>24</v>
      </c>
      <c r="O1764" s="3" t="s">
        <v>25</v>
      </c>
    </row>
    <row r="1765" spans="1:15">
      <c r="A1765" s="3" t="s">
        <v>15</v>
      </c>
      <c r="B1765" s="3" t="str">
        <f>"FES1162741672"</f>
        <v>FES1162741672</v>
      </c>
      <c r="C1765" s="3" t="s">
        <v>1228</v>
      </c>
      <c r="D1765" s="3">
        <v>1</v>
      </c>
      <c r="E1765" s="3" t="str">
        <f>"2170733212"</f>
        <v>2170733212</v>
      </c>
      <c r="F1765" s="3" t="s">
        <v>17</v>
      </c>
      <c r="G1765" s="3" t="s">
        <v>18</v>
      </c>
      <c r="H1765" s="3" t="s">
        <v>46</v>
      </c>
      <c r="I1765" s="3" t="s">
        <v>1073</v>
      </c>
      <c r="J1765" s="3" t="s">
        <v>390</v>
      </c>
      <c r="K1765" s="3" t="s">
        <v>1572</v>
      </c>
      <c r="L1765" s="4">
        <v>0.67986111111111114</v>
      </c>
      <c r="M1765" s="3" t="s">
        <v>1595</v>
      </c>
      <c r="N1765" s="3" t="s">
        <v>24</v>
      </c>
      <c r="O1765" s="3" t="s">
        <v>25</v>
      </c>
    </row>
    <row r="1766" spans="1:15">
      <c r="A1766" s="3" t="s">
        <v>15</v>
      </c>
      <c r="B1766" s="3" t="str">
        <f>"FES1162741661"</f>
        <v>FES1162741661</v>
      </c>
      <c r="C1766" s="3" t="s">
        <v>1228</v>
      </c>
      <c r="D1766" s="3">
        <v>1</v>
      </c>
      <c r="E1766" s="3" t="str">
        <f>"2170730661"</f>
        <v>2170730661</v>
      </c>
      <c r="F1766" s="3" t="s">
        <v>17</v>
      </c>
      <c r="G1766" s="3" t="s">
        <v>18</v>
      </c>
      <c r="H1766" s="3" t="s">
        <v>100</v>
      </c>
      <c r="I1766" s="3" t="s">
        <v>101</v>
      </c>
      <c r="J1766" s="3" t="s">
        <v>1596</v>
      </c>
      <c r="K1766" s="3" t="s">
        <v>1572</v>
      </c>
      <c r="L1766" s="4">
        <v>0.37638888888888888</v>
      </c>
      <c r="M1766" s="3" t="s">
        <v>1597</v>
      </c>
      <c r="N1766" s="3" t="s">
        <v>24</v>
      </c>
      <c r="O1766" s="3" t="s">
        <v>25</v>
      </c>
    </row>
    <row r="1767" spans="1:15">
      <c r="A1767" s="3" t="s">
        <v>15</v>
      </c>
      <c r="B1767" s="3" t="str">
        <f>"FES1162741703"</f>
        <v>FES1162741703</v>
      </c>
      <c r="C1767" s="3" t="s">
        <v>1228</v>
      </c>
      <c r="D1767" s="3">
        <v>0</v>
      </c>
      <c r="E1767" s="3" t="str">
        <f>"2170731337"</f>
        <v>2170731337</v>
      </c>
      <c r="F1767" s="3" t="s">
        <v>17</v>
      </c>
      <c r="G1767" s="3" t="s">
        <v>18</v>
      </c>
      <c r="H1767" s="3" t="s">
        <v>100</v>
      </c>
      <c r="I1767" s="3" t="s">
        <v>101</v>
      </c>
      <c r="J1767" s="3" t="s">
        <v>874</v>
      </c>
      <c r="K1767" s="3" t="s">
        <v>1572</v>
      </c>
      <c r="L1767" s="4">
        <v>0.4284722222222222</v>
      </c>
      <c r="M1767" s="3" t="s">
        <v>875</v>
      </c>
      <c r="N1767" s="3" t="s">
        <v>24</v>
      </c>
      <c r="O1767" s="3" t="s">
        <v>25</v>
      </c>
    </row>
    <row r="1768" spans="1:15">
      <c r="A1768" s="3" t="s">
        <v>15</v>
      </c>
      <c r="B1768" s="3" t="str">
        <f>"FES1162741640"</f>
        <v>FES1162741640</v>
      </c>
      <c r="C1768" s="3" t="s">
        <v>1228</v>
      </c>
      <c r="D1768" s="3">
        <v>0</v>
      </c>
      <c r="E1768" s="3" t="str">
        <f>"2170733173"</f>
        <v>2170733173</v>
      </c>
      <c r="F1768" s="3" t="s">
        <v>17</v>
      </c>
      <c r="G1768" s="3" t="s">
        <v>18</v>
      </c>
      <c r="H1768" s="3" t="s">
        <v>46</v>
      </c>
      <c r="I1768" s="3" t="s">
        <v>1073</v>
      </c>
      <c r="J1768" s="3" t="s">
        <v>1074</v>
      </c>
      <c r="K1768" s="3" t="s">
        <v>1572</v>
      </c>
      <c r="L1768" s="4">
        <v>0.4284722222222222</v>
      </c>
      <c r="M1768" s="3" t="s">
        <v>1598</v>
      </c>
      <c r="N1768" s="3" t="s">
        <v>24</v>
      </c>
      <c r="O1768" s="3" t="s">
        <v>25</v>
      </c>
    </row>
    <row r="1769" spans="1:15">
      <c r="A1769" s="3" t="s">
        <v>15</v>
      </c>
      <c r="B1769" s="3" t="str">
        <f>"FES1162741682"</f>
        <v>FES1162741682</v>
      </c>
      <c r="C1769" s="3" t="s">
        <v>1228</v>
      </c>
      <c r="D1769" s="3">
        <v>0</v>
      </c>
      <c r="E1769" s="3" t="str">
        <f>"2170733216"</f>
        <v>2170733216</v>
      </c>
      <c r="F1769" s="3" t="s">
        <v>17</v>
      </c>
      <c r="G1769" s="3" t="s">
        <v>18</v>
      </c>
      <c r="H1769" s="3" t="s">
        <v>18</v>
      </c>
      <c r="I1769" s="3" t="s">
        <v>171</v>
      </c>
      <c r="J1769" s="3" t="s">
        <v>1599</v>
      </c>
      <c r="K1769" s="3" t="s">
        <v>1572</v>
      </c>
      <c r="L1769" s="4">
        <v>0.33680555555555558</v>
      </c>
      <c r="M1769" s="3" t="s">
        <v>1600</v>
      </c>
      <c r="N1769" s="3" t="s">
        <v>24</v>
      </c>
      <c r="O1769" s="3" t="s">
        <v>25</v>
      </c>
    </row>
    <row r="1770" spans="1:15">
      <c r="A1770" s="3" t="s">
        <v>15</v>
      </c>
      <c r="B1770" s="3" t="str">
        <f>"FES1162741627"</f>
        <v>FES1162741627</v>
      </c>
      <c r="C1770" s="3" t="s">
        <v>1228</v>
      </c>
      <c r="D1770" s="3">
        <v>0</v>
      </c>
      <c r="E1770" s="3" t="str">
        <f>"2170732031"</f>
        <v>2170732031</v>
      </c>
      <c r="F1770" s="3" t="s">
        <v>17</v>
      </c>
      <c r="G1770" s="3" t="s">
        <v>18</v>
      </c>
      <c r="H1770" s="3" t="s">
        <v>18</v>
      </c>
      <c r="I1770" s="3" t="s">
        <v>29</v>
      </c>
      <c r="J1770" s="3" t="s">
        <v>1601</v>
      </c>
      <c r="K1770" s="3" t="s">
        <v>1572</v>
      </c>
      <c r="L1770" s="4">
        <v>0.43055555555555558</v>
      </c>
      <c r="M1770" s="3" t="s">
        <v>28</v>
      </c>
      <c r="N1770" s="3" t="s">
        <v>24</v>
      </c>
      <c r="O1770" s="3" t="s">
        <v>25</v>
      </c>
    </row>
    <row r="1771" spans="1:15">
      <c r="A1771" s="3" t="s">
        <v>15</v>
      </c>
      <c r="B1771" s="3" t="str">
        <f>"FES1162741647"</f>
        <v>FES1162741647</v>
      </c>
      <c r="C1771" s="3" t="s">
        <v>1228</v>
      </c>
      <c r="D1771" s="3">
        <v>0</v>
      </c>
      <c r="E1771" s="3" t="str">
        <f>"2170733181"</f>
        <v>2170733181</v>
      </c>
      <c r="F1771" s="3" t="s">
        <v>17</v>
      </c>
      <c r="G1771" s="3" t="s">
        <v>18</v>
      </c>
      <c r="H1771" s="3" t="s">
        <v>19</v>
      </c>
      <c r="I1771" s="3" t="s">
        <v>277</v>
      </c>
      <c r="J1771" s="3" t="s">
        <v>278</v>
      </c>
      <c r="K1771" s="3" t="s">
        <v>1572</v>
      </c>
      <c r="L1771" s="4">
        <v>0.39930555555555558</v>
      </c>
      <c r="M1771" s="3" t="s">
        <v>279</v>
      </c>
      <c r="N1771" s="3" t="s">
        <v>24</v>
      </c>
      <c r="O1771" s="3" t="s">
        <v>25</v>
      </c>
    </row>
    <row r="1772" spans="1:15">
      <c r="A1772" s="3" t="s">
        <v>15</v>
      </c>
      <c r="B1772" s="3" t="str">
        <f>"FES1162741753"</f>
        <v>FES1162741753</v>
      </c>
      <c r="C1772" s="3" t="s">
        <v>1228</v>
      </c>
      <c r="D1772" s="3">
        <v>0</v>
      </c>
      <c r="E1772" s="3" t="str">
        <f>"2170731100"</f>
        <v>2170731100</v>
      </c>
      <c r="F1772" s="3" t="s">
        <v>17</v>
      </c>
      <c r="G1772" s="3" t="s">
        <v>18</v>
      </c>
      <c r="H1772" s="3" t="s">
        <v>100</v>
      </c>
      <c r="I1772" s="3" t="s">
        <v>101</v>
      </c>
      <c r="J1772" s="3" t="s">
        <v>142</v>
      </c>
      <c r="K1772" s="3" t="s">
        <v>1572</v>
      </c>
      <c r="L1772" s="4">
        <v>0.31875000000000003</v>
      </c>
      <c r="M1772" s="3" t="s">
        <v>1169</v>
      </c>
      <c r="N1772" s="3" t="s">
        <v>24</v>
      </c>
      <c r="O1772" s="3" t="s">
        <v>25</v>
      </c>
    </row>
    <row r="1773" spans="1:15">
      <c r="A1773" s="3" t="s">
        <v>15</v>
      </c>
      <c r="B1773" s="3" t="str">
        <f>"FES1162741584"</f>
        <v>FES1162741584</v>
      </c>
      <c r="C1773" s="3" t="s">
        <v>1228</v>
      </c>
      <c r="D1773" s="3">
        <v>0</v>
      </c>
      <c r="E1773" s="3" t="str">
        <f>"2170733119"</f>
        <v>2170733119</v>
      </c>
      <c r="F1773" s="3" t="s">
        <v>17</v>
      </c>
      <c r="G1773" s="3" t="s">
        <v>18</v>
      </c>
      <c r="H1773" s="3" t="s">
        <v>18</v>
      </c>
      <c r="I1773" s="3" t="s">
        <v>171</v>
      </c>
      <c r="J1773" s="3" t="s">
        <v>642</v>
      </c>
      <c r="K1773" s="3" t="s">
        <v>1572</v>
      </c>
      <c r="L1773" s="4">
        <v>0.2638888888888889</v>
      </c>
      <c r="M1773" s="3" t="s">
        <v>28</v>
      </c>
      <c r="N1773" s="3" t="s">
        <v>24</v>
      </c>
      <c r="O1773" s="3" t="s">
        <v>25</v>
      </c>
    </row>
    <row r="1774" spans="1:15">
      <c r="A1774" s="3" t="s">
        <v>15</v>
      </c>
      <c r="B1774" s="3" t="str">
        <f>"FES1162741649"</f>
        <v>FES1162741649</v>
      </c>
      <c r="C1774" s="3" t="s">
        <v>1228</v>
      </c>
      <c r="D1774" s="3">
        <v>0</v>
      </c>
      <c r="E1774" s="3" t="str">
        <f>"2170733183"</f>
        <v>2170733183</v>
      </c>
      <c r="F1774" s="3" t="s">
        <v>17</v>
      </c>
      <c r="G1774" s="3" t="s">
        <v>18</v>
      </c>
      <c r="H1774" s="3" t="s">
        <v>70</v>
      </c>
      <c r="I1774" s="3" t="s">
        <v>71</v>
      </c>
      <c r="J1774" s="3" t="s">
        <v>1602</v>
      </c>
      <c r="K1774" s="3" t="s">
        <v>1572</v>
      </c>
      <c r="L1774" s="4">
        <v>0.40833333333333338</v>
      </c>
      <c r="M1774" s="3" t="s">
        <v>1603</v>
      </c>
      <c r="N1774" s="3" t="s">
        <v>24</v>
      </c>
      <c r="O1774" s="3" t="s">
        <v>25</v>
      </c>
    </row>
    <row r="1775" spans="1:15">
      <c r="A1775" s="3" t="s">
        <v>15</v>
      </c>
      <c r="B1775" s="3" t="str">
        <f>"FES1162741691"</f>
        <v>FES1162741691</v>
      </c>
      <c r="C1775" s="3" t="s">
        <v>1228</v>
      </c>
      <c r="D1775" s="3">
        <v>0</v>
      </c>
      <c r="E1775" s="3" t="str">
        <f>"2170733239"</f>
        <v>2170733239</v>
      </c>
      <c r="F1775" s="3" t="s">
        <v>17</v>
      </c>
      <c r="G1775" s="3" t="s">
        <v>18</v>
      </c>
      <c r="H1775" s="3" t="s">
        <v>18</v>
      </c>
      <c r="I1775" s="3" t="s">
        <v>171</v>
      </c>
      <c r="J1775" s="3" t="s">
        <v>197</v>
      </c>
      <c r="K1775" s="3" t="s">
        <v>1572</v>
      </c>
      <c r="L1775" s="4">
        <v>0.35555555555555557</v>
      </c>
      <c r="M1775" s="3" t="s">
        <v>1261</v>
      </c>
      <c r="N1775" s="3" t="s">
        <v>24</v>
      </c>
      <c r="O1775" s="3" t="s">
        <v>25</v>
      </c>
    </row>
    <row r="1776" spans="1:15">
      <c r="A1776" s="3" t="s">
        <v>15</v>
      </c>
      <c r="B1776" s="3" t="str">
        <f>"FES1162741642"</f>
        <v>FES1162741642</v>
      </c>
      <c r="C1776" s="3" t="s">
        <v>1228</v>
      </c>
      <c r="D1776" s="3">
        <v>0</v>
      </c>
      <c r="E1776" s="3" t="str">
        <f>"2170733175"</f>
        <v>2170733175</v>
      </c>
      <c r="F1776" s="3" t="s">
        <v>17</v>
      </c>
      <c r="G1776" s="3" t="s">
        <v>18</v>
      </c>
      <c r="H1776" s="3" t="s">
        <v>46</v>
      </c>
      <c r="I1776" s="3" t="s">
        <v>47</v>
      </c>
      <c r="J1776" s="3" t="s">
        <v>497</v>
      </c>
      <c r="K1776" s="3" t="s">
        <v>1572</v>
      </c>
      <c r="L1776" s="4">
        <v>0.41736111111111113</v>
      </c>
      <c r="M1776" s="3" t="s">
        <v>498</v>
      </c>
      <c r="N1776" s="3" t="s">
        <v>24</v>
      </c>
      <c r="O1776" s="3" t="s">
        <v>25</v>
      </c>
    </row>
    <row r="1777" spans="1:15">
      <c r="A1777" s="3" t="s">
        <v>15</v>
      </c>
      <c r="B1777" s="3" t="str">
        <f>"FES1162741690"</f>
        <v>FES1162741690</v>
      </c>
      <c r="C1777" s="3" t="s">
        <v>1228</v>
      </c>
      <c r="D1777" s="3">
        <v>0</v>
      </c>
      <c r="E1777" s="3" t="str">
        <f>"2170733236"</f>
        <v>2170733236</v>
      </c>
      <c r="F1777" s="3" t="s">
        <v>17</v>
      </c>
      <c r="G1777" s="3" t="s">
        <v>18</v>
      </c>
      <c r="H1777" s="3" t="s">
        <v>18</v>
      </c>
      <c r="I1777" s="3" t="s">
        <v>171</v>
      </c>
      <c r="J1777" s="3" t="s">
        <v>189</v>
      </c>
      <c r="K1777" s="3" t="s">
        <v>1572</v>
      </c>
      <c r="L1777" s="4">
        <v>0.33333333333333331</v>
      </c>
      <c r="M1777" s="3" t="s">
        <v>412</v>
      </c>
      <c r="N1777" s="3" t="s">
        <v>24</v>
      </c>
      <c r="O1777" s="3" t="s">
        <v>25</v>
      </c>
    </row>
    <row r="1778" spans="1:15">
      <c r="A1778" s="3" t="s">
        <v>15</v>
      </c>
      <c r="B1778" s="3" t="str">
        <f>"FES1162741643"</f>
        <v>FES1162741643</v>
      </c>
      <c r="C1778" s="3" t="s">
        <v>1228</v>
      </c>
      <c r="D1778" s="3">
        <v>0</v>
      </c>
      <c r="E1778" s="3" t="str">
        <f>"2170733176"</f>
        <v>2170733176</v>
      </c>
      <c r="F1778" s="3" t="s">
        <v>17</v>
      </c>
      <c r="G1778" s="3" t="s">
        <v>18</v>
      </c>
      <c r="H1778" s="3" t="s">
        <v>46</v>
      </c>
      <c r="I1778" s="3" t="s">
        <v>47</v>
      </c>
      <c r="J1778" s="3" t="s">
        <v>497</v>
      </c>
      <c r="K1778" s="3" t="s">
        <v>1572</v>
      </c>
      <c r="L1778" s="4">
        <v>0.43333333333333335</v>
      </c>
      <c r="M1778" s="3" t="s">
        <v>498</v>
      </c>
      <c r="N1778" s="3" t="s">
        <v>24</v>
      </c>
      <c r="O1778" s="3" t="s">
        <v>25</v>
      </c>
    </row>
    <row r="1779" spans="1:15">
      <c r="A1779" s="3" t="s">
        <v>15</v>
      </c>
      <c r="B1779" s="3" t="str">
        <f>"FES1162741634"</f>
        <v>FES1162741634</v>
      </c>
      <c r="C1779" s="3" t="s">
        <v>1228</v>
      </c>
      <c r="D1779" s="3">
        <v>0</v>
      </c>
      <c r="E1779" s="3" t="str">
        <f>"2170733154"</f>
        <v>2170733154</v>
      </c>
      <c r="F1779" s="3" t="s">
        <v>17</v>
      </c>
      <c r="G1779" s="3" t="s">
        <v>18</v>
      </c>
      <c r="H1779" s="3" t="s">
        <v>36</v>
      </c>
      <c r="I1779" s="3" t="s">
        <v>37</v>
      </c>
      <c r="J1779" s="3" t="s">
        <v>585</v>
      </c>
      <c r="K1779" s="3" t="s">
        <v>1572</v>
      </c>
      <c r="L1779" s="4">
        <v>0.4145833333333333</v>
      </c>
      <c r="M1779" s="3" t="s">
        <v>862</v>
      </c>
      <c r="N1779" s="3" t="s">
        <v>24</v>
      </c>
      <c r="O1779" s="3" t="s">
        <v>25</v>
      </c>
    </row>
    <row r="1780" spans="1:15">
      <c r="A1780" s="3" t="s">
        <v>15</v>
      </c>
      <c r="B1780" s="3" t="str">
        <f>"FES1162741677"</f>
        <v>FES1162741677</v>
      </c>
      <c r="C1780" s="3" t="s">
        <v>1228</v>
      </c>
      <c r="D1780" s="3">
        <v>0</v>
      </c>
      <c r="E1780" s="3" t="str">
        <f>"2170729753"</f>
        <v>2170729753</v>
      </c>
      <c r="F1780" s="3" t="s">
        <v>17</v>
      </c>
      <c r="G1780" s="3" t="s">
        <v>18</v>
      </c>
      <c r="H1780" s="3" t="s">
        <v>100</v>
      </c>
      <c r="I1780" s="3" t="s">
        <v>117</v>
      </c>
      <c r="J1780" s="3" t="s">
        <v>285</v>
      </c>
      <c r="K1780" s="3" t="s">
        <v>1572</v>
      </c>
      <c r="L1780" s="4">
        <v>0.41666666666666669</v>
      </c>
      <c r="M1780" s="3" t="s">
        <v>1573</v>
      </c>
      <c r="N1780" s="3" t="s">
        <v>24</v>
      </c>
      <c r="O1780" s="3" t="s">
        <v>25</v>
      </c>
    </row>
    <row r="1781" spans="1:15">
      <c r="A1781" s="3" t="s">
        <v>15</v>
      </c>
      <c r="B1781" s="3" t="str">
        <f>"FES1162741645"</f>
        <v>FES1162741645</v>
      </c>
      <c r="C1781" s="3" t="s">
        <v>1228</v>
      </c>
      <c r="D1781" s="3">
        <v>0</v>
      </c>
      <c r="E1781" s="3" t="str">
        <f>"2170733179"</f>
        <v>2170733179</v>
      </c>
      <c r="F1781" s="3" t="s">
        <v>17</v>
      </c>
      <c r="G1781" s="3" t="s">
        <v>18</v>
      </c>
      <c r="H1781" s="3" t="s">
        <v>36</v>
      </c>
      <c r="I1781" s="3" t="s">
        <v>1440</v>
      </c>
      <c r="J1781" s="3" t="s">
        <v>1441</v>
      </c>
      <c r="K1781" s="3" t="s">
        <v>1572</v>
      </c>
      <c r="L1781" s="4">
        <v>0.68472222222222223</v>
      </c>
      <c r="M1781" s="3" t="s">
        <v>1604</v>
      </c>
      <c r="N1781" s="3" t="s">
        <v>24</v>
      </c>
      <c r="O1781" s="3" t="s">
        <v>25</v>
      </c>
    </row>
    <row r="1782" spans="1:15">
      <c r="A1782" s="3" t="s">
        <v>15</v>
      </c>
      <c r="B1782" s="3" t="str">
        <f>"FES1162741687"</f>
        <v>FES1162741687</v>
      </c>
      <c r="C1782" s="3" t="s">
        <v>1228</v>
      </c>
      <c r="D1782" s="3">
        <v>0</v>
      </c>
      <c r="E1782" s="3" t="str">
        <f>"2170733231"</f>
        <v>2170733231</v>
      </c>
      <c r="F1782" s="3" t="s">
        <v>17</v>
      </c>
      <c r="G1782" s="3" t="s">
        <v>18</v>
      </c>
      <c r="H1782" s="3" t="s">
        <v>46</v>
      </c>
      <c r="I1782" s="3" t="s">
        <v>47</v>
      </c>
      <c r="J1782" s="3" t="s">
        <v>1605</v>
      </c>
      <c r="K1782" s="3" t="s">
        <v>1572</v>
      </c>
      <c r="L1782" s="4">
        <v>0.43402777777777773</v>
      </c>
      <c r="M1782" s="3" t="s">
        <v>999</v>
      </c>
      <c r="N1782" s="3" t="s">
        <v>24</v>
      </c>
      <c r="O1782" s="3" t="s">
        <v>25</v>
      </c>
    </row>
    <row r="1783" spans="1:15">
      <c r="A1783" s="3" t="s">
        <v>15</v>
      </c>
      <c r="B1783" s="3" t="str">
        <f>"FES1162741588"</f>
        <v>FES1162741588</v>
      </c>
      <c r="C1783" s="3" t="s">
        <v>1228</v>
      </c>
      <c r="D1783" s="3">
        <v>0</v>
      </c>
      <c r="E1783" s="3" t="str">
        <f>"2170733125"</f>
        <v>2170733125</v>
      </c>
      <c r="F1783" s="3" t="s">
        <v>17</v>
      </c>
      <c r="G1783" s="3" t="s">
        <v>18</v>
      </c>
      <c r="H1783" s="3" t="s">
        <v>18</v>
      </c>
      <c r="I1783" s="3" t="s">
        <v>180</v>
      </c>
      <c r="J1783" s="3" t="s">
        <v>212</v>
      </c>
      <c r="K1783" s="3" t="s">
        <v>1572</v>
      </c>
      <c r="L1783" s="4">
        <v>0.41250000000000003</v>
      </c>
      <c r="M1783" s="3" t="s">
        <v>1278</v>
      </c>
      <c r="N1783" s="3" t="s">
        <v>24</v>
      </c>
      <c r="O1783" s="3" t="s">
        <v>25</v>
      </c>
    </row>
    <row r="1784" spans="1:15">
      <c r="A1784" s="3" t="s">
        <v>15</v>
      </c>
      <c r="B1784" s="3" t="str">
        <f>"FES1162741666"</f>
        <v>FES1162741666</v>
      </c>
      <c r="C1784" s="3" t="s">
        <v>1228</v>
      </c>
      <c r="D1784" s="3">
        <v>0</v>
      </c>
      <c r="E1784" s="3" t="str">
        <f>"2170733197"</f>
        <v>2170733197</v>
      </c>
      <c r="F1784" s="3" t="s">
        <v>17</v>
      </c>
      <c r="G1784" s="3" t="s">
        <v>18</v>
      </c>
      <c r="H1784" s="3" t="s">
        <v>18</v>
      </c>
      <c r="I1784" s="3" t="s">
        <v>171</v>
      </c>
      <c r="J1784" s="3" t="s">
        <v>172</v>
      </c>
      <c r="K1784" s="3" t="s">
        <v>1572</v>
      </c>
      <c r="L1784" s="4">
        <v>0.3430555555555555</v>
      </c>
      <c r="M1784" s="3" t="s">
        <v>1606</v>
      </c>
      <c r="N1784" s="3" t="s">
        <v>24</v>
      </c>
      <c r="O1784" s="3" t="s">
        <v>25</v>
      </c>
    </row>
    <row r="1785" spans="1:15">
      <c r="A1785" s="3" t="s">
        <v>15</v>
      </c>
      <c r="B1785" s="3" t="str">
        <f>"FES1162741748"</f>
        <v>FES1162741748</v>
      </c>
      <c r="C1785" s="3" t="s">
        <v>1228</v>
      </c>
      <c r="D1785" s="3">
        <v>0</v>
      </c>
      <c r="E1785" s="3" t="str">
        <f>"2170731244"</f>
        <v>2170731244</v>
      </c>
      <c r="F1785" s="3" t="s">
        <v>17</v>
      </c>
      <c r="G1785" s="3" t="s">
        <v>18</v>
      </c>
      <c r="H1785" s="3" t="s">
        <v>19</v>
      </c>
      <c r="I1785" s="3" t="s">
        <v>51</v>
      </c>
      <c r="J1785" s="3" t="s">
        <v>52</v>
      </c>
      <c r="K1785" s="3" t="s">
        <v>1572</v>
      </c>
      <c r="L1785" s="4">
        <v>0.33055555555555555</v>
      </c>
      <c r="M1785" s="3" t="s">
        <v>53</v>
      </c>
      <c r="N1785" s="3" t="s">
        <v>24</v>
      </c>
      <c r="O1785" s="3" t="s">
        <v>25</v>
      </c>
    </row>
    <row r="1786" spans="1:15">
      <c r="A1786" s="3" t="s">
        <v>15</v>
      </c>
      <c r="B1786" s="3" t="str">
        <f>"FES1162741653"</f>
        <v>FES1162741653</v>
      </c>
      <c r="C1786" s="3" t="s">
        <v>1228</v>
      </c>
      <c r="D1786" s="3">
        <v>0</v>
      </c>
      <c r="E1786" s="3" t="str">
        <f>"2170733191"</f>
        <v>2170733191</v>
      </c>
      <c r="F1786" s="3" t="s">
        <v>17</v>
      </c>
      <c r="G1786" s="3" t="s">
        <v>18</v>
      </c>
      <c r="H1786" s="3" t="s">
        <v>19</v>
      </c>
      <c r="I1786" s="3" t="s">
        <v>277</v>
      </c>
      <c r="J1786" s="3" t="s">
        <v>278</v>
      </c>
      <c r="K1786" s="3" t="s">
        <v>1572</v>
      </c>
      <c r="L1786" s="4">
        <v>0.39930555555555558</v>
      </c>
      <c r="M1786" s="3" t="s">
        <v>279</v>
      </c>
      <c r="N1786" s="3" t="s">
        <v>24</v>
      </c>
      <c r="O1786" s="3" t="s">
        <v>25</v>
      </c>
    </row>
    <row r="1787" spans="1:15">
      <c r="A1787" s="3" t="s">
        <v>15</v>
      </c>
      <c r="B1787" s="3" t="str">
        <f>"FES1162741681"</f>
        <v>FES1162741681</v>
      </c>
      <c r="C1787" s="3" t="s">
        <v>1228</v>
      </c>
      <c r="D1787" s="3">
        <v>0</v>
      </c>
      <c r="E1787" s="3" t="str">
        <f>"2170733196"</f>
        <v>2170733196</v>
      </c>
      <c r="F1787" s="3" t="s">
        <v>17</v>
      </c>
      <c r="G1787" s="3" t="s">
        <v>18</v>
      </c>
      <c r="H1787" s="3" t="s">
        <v>100</v>
      </c>
      <c r="I1787" s="3" t="s">
        <v>101</v>
      </c>
      <c r="J1787" s="3" t="s">
        <v>1607</v>
      </c>
      <c r="K1787" s="3" t="s">
        <v>1572</v>
      </c>
      <c r="L1787" s="4">
        <v>0.36180555555555555</v>
      </c>
      <c r="M1787" s="3" t="s">
        <v>1608</v>
      </c>
      <c r="N1787" s="3" t="s">
        <v>24</v>
      </c>
      <c r="O1787" s="3" t="s">
        <v>25</v>
      </c>
    </row>
    <row r="1788" spans="1:15">
      <c r="A1788" s="3" t="s">
        <v>15</v>
      </c>
      <c r="B1788" s="3" t="str">
        <f>"FES1162741775"</f>
        <v>FES1162741775</v>
      </c>
      <c r="C1788" s="3" t="s">
        <v>1228</v>
      </c>
      <c r="D1788" s="3">
        <v>0</v>
      </c>
      <c r="E1788" s="3" t="str">
        <f>"2170733282"</f>
        <v>2170733282</v>
      </c>
      <c r="F1788" s="3" t="s">
        <v>17</v>
      </c>
      <c r="G1788" s="3" t="s">
        <v>18</v>
      </c>
      <c r="H1788" s="3" t="s">
        <v>100</v>
      </c>
      <c r="I1788" s="3" t="s">
        <v>117</v>
      </c>
      <c r="J1788" s="3" t="s">
        <v>335</v>
      </c>
      <c r="K1788" s="3" t="s">
        <v>1572</v>
      </c>
      <c r="L1788" s="4">
        <v>0.41666666666666669</v>
      </c>
      <c r="M1788" s="3" t="s">
        <v>1387</v>
      </c>
      <c r="N1788" s="3" t="s">
        <v>24</v>
      </c>
      <c r="O1788" s="3" t="s">
        <v>25</v>
      </c>
    </row>
    <row r="1789" spans="1:15">
      <c r="A1789" s="3" t="s">
        <v>15</v>
      </c>
      <c r="B1789" s="3" t="str">
        <f>"FES1162741729"</f>
        <v>FES1162741729</v>
      </c>
      <c r="C1789" s="3" t="s">
        <v>1228</v>
      </c>
      <c r="D1789" s="3">
        <v>1</v>
      </c>
      <c r="E1789" s="3" t="str">
        <f>"2170731505"</f>
        <v>2170731505</v>
      </c>
      <c r="F1789" s="3" t="s">
        <v>17</v>
      </c>
      <c r="G1789" s="3" t="s">
        <v>18</v>
      </c>
      <c r="H1789" s="3" t="s">
        <v>19</v>
      </c>
      <c r="I1789" s="3" t="s">
        <v>86</v>
      </c>
      <c r="J1789" s="3" t="s">
        <v>273</v>
      </c>
      <c r="K1789" s="3" t="s">
        <v>1572</v>
      </c>
      <c r="L1789" s="4">
        <v>0.3527777777777778</v>
      </c>
      <c r="M1789" s="3" t="s">
        <v>1593</v>
      </c>
      <c r="N1789" s="3" t="s">
        <v>24</v>
      </c>
      <c r="O1789" s="3" t="s">
        <v>25</v>
      </c>
    </row>
    <row r="1790" spans="1:15">
      <c r="A1790" s="3" t="s">
        <v>15</v>
      </c>
      <c r="B1790" s="3" t="str">
        <f>"FES1162741749"</f>
        <v>FES1162741749</v>
      </c>
      <c r="C1790" s="3" t="s">
        <v>1228</v>
      </c>
      <c r="D1790" s="3">
        <v>1</v>
      </c>
      <c r="E1790" s="3" t="str">
        <f>"2170731552"</f>
        <v>2170731552</v>
      </c>
      <c r="F1790" s="3" t="s">
        <v>17</v>
      </c>
      <c r="G1790" s="3" t="s">
        <v>18</v>
      </c>
      <c r="H1790" s="3" t="s">
        <v>19</v>
      </c>
      <c r="I1790" s="3" t="s">
        <v>51</v>
      </c>
      <c r="J1790" s="3" t="s">
        <v>209</v>
      </c>
      <c r="K1790" s="3" t="s">
        <v>1572</v>
      </c>
      <c r="L1790" s="4">
        <v>0.36388888888888887</v>
      </c>
      <c r="M1790" s="3" t="s">
        <v>1539</v>
      </c>
      <c r="N1790" s="3" t="s">
        <v>24</v>
      </c>
      <c r="O1790" s="3" t="s">
        <v>25</v>
      </c>
    </row>
    <row r="1791" spans="1:15">
      <c r="A1791" s="3" t="s">
        <v>15</v>
      </c>
      <c r="B1791" s="3" t="str">
        <f>"FES1162741747"</f>
        <v>FES1162741747</v>
      </c>
      <c r="C1791" s="3" t="s">
        <v>1228</v>
      </c>
      <c r="D1791" s="3">
        <v>1</v>
      </c>
      <c r="E1791" s="3" t="str">
        <f>"2170731399"</f>
        <v>2170731399</v>
      </c>
      <c r="F1791" s="3" t="s">
        <v>17</v>
      </c>
      <c r="G1791" s="3" t="s">
        <v>18</v>
      </c>
      <c r="H1791" s="3" t="s">
        <v>19</v>
      </c>
      <c r="I1791" s="3" t="s">
        <v>277</v>
      </c>
      <c r="J1791" s="3" t="s">
        <v>532</v>
      </c>
      <c r="K1791" s="3" t="s">
        <v>1572</v>
      </c>
      <c r="L1791" s="4">
        <v>0.43611111111111112</v>
      </c>
      <c r="M1791" s="3" t="s">
        <v>1609</v>
      </c>
      <c r="N1791" s="3" t="s">
        <v>24</v>
      </c>
      <c r="O1791" s="3" t="s">
        <v>25</v>
      </c>
    </row>
    <row r="1792" spans="1:15">
      <c r="A1792" s="3" t="s">
        <v>15</v>
      </c>
      <c r="B1792" s="3" t="str">
        <f>"FES1162741762"</f>
        <v>FES1162741762</v>
      </c>
      <c r="C1792" s="3" t="s">
        <v>1228</v>
      </c>
      <c r="D1792" s="3">
        <v>1</v>
      </c>
      <c r="E1792" s="3" t="str">
        <f>"2170733266"</f>
        <v>2170733266</v>
      </c>
      <c r="F1792" s="3" t="s">
        <v>17</v>
      </c>
      <c r="G1792" s="3" t="s">
        <v>18</v>
      </c>
      <c r="H1792" s="3" t="s">
        <v>19</v>
      </c>
      <c r="I1792" s="3" t="s">
        <v>20</v>
      </c>
      <c r="J1792" s="3" t="s">
        <v>417</v>
      </c>
      <c r="K1792" s="3" t="s">
        <v>1572</v>
      </c>
      <c r="L1792" s="4">
        <v>0.40277777777777773</v>
      </c>
      <c r="M1792" s="3" t="s">
        <v>1610</v>
      </c>
      <c r="N1792" s="3" t="s">
        <v>24</v>
      </c>
      <c r="O1792" s="3" t="s">
        <v>25</v>
      </c>
    </row>
    <row r="1793" spans="1:15">
      <c r="A1793" s="3" t="s">
        <v>15</v>
      </c>
      <c r="B1793" s="3" t="str">
        <f>"FES1162741766"</f>
        <v>FES1162741766</v>
      </c>
      <c r="C1793" s="3" t="s">
        <v>1228</v>
      </c>
      <c r="D1793" s="3">
        <v>1</v>
      </c>
      <c r="E1793" s="3" t="str">
        <f>"2170731607"</f>
        <v>2170731607</v>
      </c>
      <c r="F1793" s="3" t="s">
        <v>17</v>
      </c>
      <c r="G1793" s="3" t="s">
        <v>18</v>
      </c>
      <c r="H1793" s="3" t="s">
        <v>100</v>
      </c>
      <c r="I1793" s="3" t="s">
        <v>117</v>
      </c>
      <c r="J1793" s="3" t="s">
        <v>784</v>
      </c>
      <c r="K1793" s="3" t="s">
        <v>1572</v>
      </c>
      <c r="L1793" s="4">
        <v>0.41666666666666669</v>
      </c>
      <c r="M1793" s="3" t="s">
        <v>1583</v>
      </c>
      <c r="N1793" s="3" t="s">
        <v>24</v>
      </c>
      <c r="O1793" s="3" t="s">
        <v>25</v>
      </c>
    </row>
    <row r="1794" spans="1:15">
      <c r="A1794" s="3" t="s">
        <v>15</v>
      </c>
      <c r="B1794" s="3" t="str">
        <f>"FES1162741689"</f>
        <v>FES1162741689</v>
      </c>
      <c r="C1794" s="3" t="s">
        <v>1228</v>
      </c>
      <c r="D1794" s="3">
        <v>1</v>
      </c>
      <c r="E1794" s="3" t="str">
        <f>"2170733235"</f>
        <v>2170733235</v>
      </c>
      <c r="F1794" s="3" t="s">
        <v>17</v>
      </c>
      <c r="G1794" s="3" t="s">
        <v>18</v>
      </c>
      <c r="H1794" s="3" t="s">
        <v>100</v>
      </c>
      <c r="I1794" s="3" t="s">
        <v>262</v>
      </c>
      <c r="J1794" s="3" t="s">
        <v>409</v>
      </c>
      <c r="K1794" s="3" t="s">
        <v>1572</v>
      </c>
      <c r="L1794" s="4">
        <v>0.41666666666666669</v>
      </c>
      <c r="M1794" s="3" t="s">
        <v>1388</v>
      </c>
      <c r="N1794" s="3" t="s">
        <v>24</v>
      </c>
      <c r="O1794" s="3" t="s">
        <v>25</v>
      </c>
    </row>
    <row r="1795" spans="1:15">
      <c r="A1795" s="3" t="s">
        <v>15</v>
      </c>
      <c r="B1795" s="3" t="str">
        <f>"FES1162741633"</f>
        <v>FES1162741633</v>
      </c>
      <c r="C1795" s="3" t="s">
        <v>1228</v>
      </c>
      <c r="D1795" s="3">
        <v>1</v>
      </c>
      <c r="E1795" s="3" t="str">
        <f>"2170733135"</f>
        <v>2170733135</v>
      </c>
      <c r="F1795" s="3" t="s">
        <v>17</v>
      </c>
      <c r="G1795" s="3" t="s">
        <v>18</v>
      </c>
      <c r="H1795" s="3" t="s">
        <v>100</v>
      </c>
      <c r="I1795" s="3" t="s">
        <v>262</v>
      </c>
      <c r="J1795" s="3" t="s">
        <v>263</v>
      </c>
      <c r="K1795" s="3" t="s">
        <v>1572</v>
      </c>
      <c r="L1795" s="4">
        <v>0.41666666666666669</v>
      </c>
      <c r="M1795" s="3" t="s">
        <v>1611</v>
      </c>
      <c r="N1795" s="3" t="s">
        <v>24</v>
      </c>
      <c r="O1795" s="3" t="s">
        <v>25</v>
      </c>
    </row>
    <row r="1796" spans="1:15">
      <c r="A1796" s="3" t="s">
        <v>15</v>
      </c>
      <c r="B1796" s="3" t="str">
        <f>"FES1162741727"</f>
        <v>FES1162741727</v>
      </c>
      <c r="C1796" s="3" t="s">
        <v>1228</v>
      </c>
      <c r="D1796" s="3">
        <v>1</v>
      </c>
      <c r="E1796" s="3" t="str">
        <f>"2170731285"</f>
        <v>2170731285</v>
      </c>
      <c r="F1796" s="3" t="s">
        <v>17</v>
      </c>
      <c r="G1796" s="3" t="s">
        <v>18</v>
      </c>
      <c r="H1796" s="3" t="s">
        <v>100</v>
      </c>
      <c r="I1796" s="3" t="s">
        <v>101</v>
      </c>
      <c r="J1796" s="3" t="s">
        <v>1612</v>
      </c>
      <c r="K1796" s="3" t="s">
        <v>1572</v>
      </c>
      <c r="L1796" s="4">
        <v>0.41666666666666669</v>
      </c>
      <c r="M1796" s="3" t="s">
        <v>1324</v>
      </c>
      <c r="N1796" s="3" t="s">
        <v>24</v>
      </c>
      <c r="O1796" s="3" t="s">
        <v>25</v>
      </c>
    </row>
    <row r="1797" spans="1:15">
      <c r="A1797" s="3" t="s">
        <v>15</v>
      </c>
      <c r="B1797" s="3" t="str">
        <f>"FES1162741641"</f>
        <v>FES1162741641</v>
      </c>
      <c r="C1797" s="3" t="s">
        <v>1228</v>
      </c>
      <c r="D1797" s="3">
        <v>1</v>
      </c>
      <c r="E1797" s="3" t="str">
        <f>"2170733174"</f>
        <v>2170733174</v>
      </c>
      <c r="F1797" s="3" t="s">
        <v>17</v>
      </c>
      <c r="G1797" s="3" t="s">
        <v>18</v>
      </c>
      <c r="H1797" s="3" t="s">
        <v>18</v>
      </c>
      <c r="I1797" s="3" t="s">
        <v>29</v>
      </c>
      <c r="J1797" s="3" t="s">
        <v>493</v>
      </c>
      <c r="K1797" s="3" t="s">
        <v>1572</v>
      </c>
      <c r="L1797" s="4">
        <v>0.2986111111111111</v>
      </c>
      <c r="M1797" s="3" t="s">
        <v>494</v>
      </c>
      <c r="N1797" s="3" t="s">
        <v>24</v>
      </c>
      <c r="O1797" s="3" t="s">
        <v>25</v>
      </c>
    </row>
    <row r="1798" spans="1:15">
      <c r="A1798" s="3" t="s">
        <v>15</v>
      </c>
      <c r="B1798" s="3" t="str">
        <f>"FES1162741722"</f>
        <v>FES1162741722</v>
      </c>
      <c r="C1798" s="3" t="s">
        <v>1228</v>
      </c>
      <c r="D1798" s="3">
        <v>1</v>
      </c>
      <c r="E1798" s="3" t="str">
        <f>"2170731230"</f>
        <v>2170731230</v>
      </c>
      <c r="F1798" s="3" t="s">
        <v>214</v>
      </c>
      <c r="G1798" s="3" t="s">
        <v>18</v>
      </c>
      <c r="H1798" s="3" t="s">
        <v>66</v>
      </c>
      <c r="I1798" s="3" t="s">
        <v>67</v>
      </c>
      <c r="J1798" s="3" t="s">
        <v>287</v>
      </c>
      <c r="K1798" s="3" t="s">
        <v>1572</v>
      </c>
      <c r="L1798" s="4">
        <v>0.34722222222222227</v>
      </c>
      <c r="M1798" s="3" t="s">
        <v>787</v>
      </c>
      <c r="N1798" s="3" t="s">
        <v>24</v>
      </c>
      <c r="O1798" s="3" t="s">
        <v>25</v>
      </c>
    </row>
    <row r="1799" spans="1:15">
      <c r="A1799" s="3" t="s">
        <v>15</v>
      </c>
      <c r="B1799" s="3" t="str">
        <f>"FES1162741652"</f>
        <v>FES1162741652</v>
      </c>
      <c r="C1799" s="3" t="s">
        <v>1228</v>
      </c>
      <c r="D1799" s="3">
        <v>1</v>
      </c>
      <c r="E1799" s="3" t="str">
        <f>"2170733189"</f>
        <v>2170733189</v>
      </c>
      <c r="F1799" s="3" t="s">
        <v>17</v>
      </c>
      <c r="G1799" s="3" t="s">
        <v>18</v>
      </c>
      <c r="H1799" s="3" t="s">
        <v>18</v>
      </c>
      <c r="I1799" s="3" t="s">
        <v>222</v>
      </c>
      <c r="J1799" s="3" t="s">
        <v>716</v>
      </c>
      <c r="K1799" s="3" t="s">
        <v>1572</v>
      </c>
      <c r="L1799" s="4">
        <v>0.375</v>
      </c>
      <c r="M1799" s="3" t="s">
        <v>268</v>
      </c>
      <c r="N1799" s="3" t="s">
        <v>24</v>
      </c>
      <c r="O1799" s="3" t="s">
        <v>25</v>
      </c>
    </row>
    <row r="1800" spans="1:15">
      <c r="A1800" s="3" t="s">
        <v>15</v>
      </c>
      <c r="B1800" s="3" t="str">
        <f>"FES1162741628"</f>
        <v>FES1162741628</v>
      </c>
      <c r="C1800" s="3" t="s">
        <v>1228</v>
      </c>
      <c r="D1800" s="3">
        <v>1</v>
      </c>
      <c r="E1800" s="3" t="str">
        <f>"2170732190"</f>
        <v>2170732190</v>
      </c>
      <c r="F1800" s="3" t="s">
        <v>17</v>
      </c>
      <c r="G1800" s="3" t="s">
        <v>18</v>
      </c>
      <c r="H1800" s="3" t="s">
        <v>18</v>
      </c>
      <c r="I1800" s="3" t="s">
        <v>180</v>
      </c>
      <c r="J1800" s="3" t="s">
        <v>1613</v>
      </c>
      <c r="K1800" s="3" t="s">
        <v>1572</v>
      </c>
      <c r="L1800" s="4">
        <v>0.4375</v>
      </c>
      <c r="M1800" s="3" t="s">
        <v>1614</v>
      </c>
      <c r="N1800" s="3" t="s">
        <v>24</v>
      </c>
      <c r="O1800" s="3" t="s">
        <v>25</v>
      </c>
    </row>
    <row r="1801" spans="1:15">
      <c r="A1801" s="3" t="s">
        <v>15</v>
      </c>
      <c r="B1801" s="3" t="str">
        <f>"FES1162741675"</f>
        <v>FES1162741675</v>
      </c>
      <c r="C1801" s="3" t="s">
        <v>1228</v>
      </c>
      <c r="D1801" s="3">
        <v>1</v>
      </c>
      <c r="E1801" s="3" t="str">
        <f>"2170732929"</f>
        <v>2170732929</v>
      </c>
      <c r="F1801" s="3" t="s">
        <v>17</v>
      </c>
      <c r="G1801" s="3" t="s">
        <v>18</v>
      </c>
      <c r="H1801" s="3" t="s">
        <v>36</v>
      </c>
      <c r="I1801" s="3" t="s">
        <v>174</v>
      </c>
      <c r="J1801" s="3" t="s">
        <v>672</v>
      </c>
      <c r="K1801" s="3" t="s">
        <v>1572</v>
      </c>
      <c r="L1801" s="4">
        <v>0.34375</v>
      </c>
      <c r="M1801" s="3" t="s">
        <v>673</v>
      </c>
      <c r="N1801" s="3" t="s">
        <v>24</v>
      </c>
      <c r="O1801" s="3" t="s">
        <v>25</v>
      </c>
    </row>
    <row r="1802" spans="1:15">
      <c r="A1802" s="3" t="s">
        <v>15</v>
      </c>
      <c r="B1802" s="3" t="str">
        <f>"FES1162741648"</f>
        <v>FES1162741648</v>
      </c>
      <c r="C1802" s="3" t="s">
        <v>1228</v>
      </c>
      <c r="D1802" s="3">
        <v>1</v>
      </c>
      <c r="E1802" s="3" t="str">
        <f>"2170733182"</f>
        <v>2170733182</v>
      </c>
      <c r="F1802" s="3" t="s">
        <v>17</v>
      </c>
      <c r="G1802" s="3" t="s">
        <v>18</v>
      </c>
      <c r="H1802" s="3" t="s">
        <v>18</v>
      </c>
      <c r="I1802" s="3" t="s">
        <v>309</v>
      </c>
      <c r="J1802" s="3" t="s">
        <v>882</v>
      </c>
      <c r="K1802" s="3" t="s">
        <v>1572</v>
      </c>
      <c r="L1802" s="4">
        <v>0.34652777777777777</v>
      </c>
      <c r="M1802" s="3" t="s">
        <v>1615</v>
      </c>
      <c r="N1802" s="3" t="s">
        <v>24</v>
      </c>
      <c r="O1802" s="3" t="s">
        <v>25</v>
      </c>
    </row>
    <row r="1803" spans="1:15">
      <c r="A1803" s="3" t="s">
        <v>15</v>
      </c>
      <c r="B1803" s="3" t="str">
        <f>"FES1162741629"</f>
        <v>FES1162741629</v>
      </c>
      <c r="C1803" s="3" t="s">
        <v>1228</v>
      </c>
      <c r="D1803" s="3">
        <v>0</v>
      </c>
      <c r="E1803" s="3" t="str">
        <f>"2170732421"</f>
        <v>2170732421</v>
      </c>
      <c r="F1803" s="3" t="s">
        <v>17</v>
      </c>
      <c r="G1803" s="3" t="s">
        <v>18</v>
      </c>
      <c r="H1803" s="3" t="s">
        <v>18</v>
      </c>
      <c r="I1803" s="3" t="s">
        <v>26</v>
      </c>
      <c r="J1803" s="3" t="s">
        <v>390</v>
      </c>
      <c r="K1803" s="3" t="s">
        <v>1572</v>
      </c>
      <c r="L1803" s="4">
        <v>0.4375</v>
      </c>
      <c r="M1803" s="3" t="s">
        <v>1118</v>
      </c>
      <c r="N1803" s="3" t="s">
        <v>24</v>
      </c>
      <c r="O1803" s="3" t="s">
        <v>25</v>
      </c>
    </row>
    <row r="1804" spans="1:15">
      <c r="A1804" s="3" t="s">
        <v>15</v>
      </c>
      <c r="B1804" s="3" t="str">
        <f>"FES1162741639"</f>
        <v>FES1162741639</v>
      </c>
      <c r="C1804" s="3" t="s">
        <v>1228</v>
      </c>
      <c r="D1804" s="3">
        <v>0</v>
      </c>
      <c r="E1804" s="3" t="str">
        <f>"2170733172"</f>
        <v>2170733172</v>
      </c>
      <c r="F1804" s="3" t="s">
        <v>17</v>
      </c>
      <c r="G1804" s="3" t="s">
        <v>18</v>
      </c>
      <c r="H1804" s="3" t="s">
        <v>18</v>
      </c>
      <c r="I1804" s="3" t="s">
        <v>171</v>
      </c>
      <c r="J1804" s="3" t="s">
        <v>369</v>
      </c>
      <c r="K1804" s="3" t="s">
        <v>1572</v>
      </c>
      <c r="L1804" s="4">
        <v>0.35902777777777778</v>
      </c>
      <c r="M1804" s="3" t="s">
        <v>370</v>
      </c>
      <c r="N1804" s="3" t="s">
        <v>24</v>
      </c>
      <c r="O1804" s="3" t="s">
        <v>25</v>
      </c>
    </row>
    <row r="1805" spans="1:15">
      <c r="A1805" s="3" t="s">
        <v>15</v>
      </c>
      <c r="B1805" s="3" t="str">
        <f>"FES1162741738"</f>
        <v>FES1162741738</v>
      </c>
      <c r="C1805" s="3" t="s">
        <v>1228</v>
      </c>
      <c r="D1805" s="3">
        <v>0</v>
      </c>
      <c r="E1805" s="3" t="str">
        <f>"2170730989"</f>
        <v>2170730989</v>
      </c>
      <c r="F1805" s="3" t="s">
        <v>17</v>
      </c>
      <c r="G1805" s="3" t="s">
        <v>18</v>
      </c>
      <c r="H1805" s="3" t="s">
        <v>18</v>
      </c>
      <c r="I1805" s="3" t="s">
        <v>338</v>
      </c>
      <c r="J1805" s="3" t="s">
        <v>724</v>
      </c>
      <c r="K1805" s="3" t="s">
        <v>1572</v>
      </c>
      <c r="L1805" s="4">
        <v>0.34027777777777773</v>
      </c>
      <c r="M1805" s="3" t="s">
        <v>725</v>
      </c>
      <c r="N1805" s="3" t="s">
        <v>24</v>
      </c>
      <c r="O1805" s="3" t="s">
        <v>25</v>
      </c>
    </row>
    <row r="1806" spans="1:15">
      <c r="A1806" s="3" t="s">
        <v>15</v>
      </c>
      <c r="B1806" s="3" t="str">
        <f>"FES1162741636"</f>
        <v>FES1162741636</v>
      </c>
      <c r="C1806" s="3" t="s">
        <v>1228</v>
      </c>
      <c r="D1806" s="3">
        <v>0</v>
      </c>
      <c r="E1806" s="3" t="str">
        <f>"2170733168"</f>
        <v>2170733168</v>
      </c>
      <c r="F1806" s="3" t="s">
        <v>17</v>
      </c>
      <c r="G1806" s="3" t="s">
        <v>18</v>
      </c>
      <c r="H1806" s="3" t="s">
        <v>18</v>
      </c>
      <c r="I1806" s="3" t="s">
        <v>171</v>
      </c>
      <c r="J1806" s="3" t="s">
        <v>189</v>
      </c>
      <c r="K1806" s="3" t="s">
        <v>1572</v>
      </c>
      <c r="L1806" s="4">
        <v>0.33333333333333331</v>
      </c>
      <c r="M1806" s="3" t="s">
        <v>412</v>
      </c>
      <c r="N1806" s="3" t="s">
        <v>24</v>
      </c>
      <c r="O1806" s="3" t="s">
        <v>25</v>
      </c>
    </row>
    <row r="1807" spans="1:15">
      <c r="A1807" s="3" t="s">
        <v>15</v>
      </c>
      <c r="B1807" s="3" t="str">
        <f>"FES1162741704"</f>
        <v>FES1162741704</v>
      </c>
      <c r="C1807" s="3" t="s">
        <v>1228</v>
      </c>
      <c r="D1807" s="3">
        <v>1</v>
      </c>
      <c r="E1807" s="3" t="str">
        <f>"2170731165"</f>
        <v>2170731165</v>
      </c>
      <c r="F1807" s="3" t="s">
        <v>17</v>
      </c>
      <c r="G1807" s="3" t="s">
        <v>18</v>
      </c>
      <c r="H1807" s="3" t="s">
        <v>18</v>
      </c>
      <c r="I1807" s="3" t="s">
        <v>313</v>
      </c>
      <c r="J1807" s="3" t="s">
        <v>337</v>
      </c>
      <c r="K1807" s="3" t="s">
        <v>1572</v>
      </c>
      <c r="L1807" s="4">
        <v>0.43055555555555558</v>
      </c>
      <c r="M1807" s="3" t="s">
        <v>1616</v>
      </c>
      <c r="N1807" s="3" t="s">
        <v>24</v>
      </c>
      <c r="O1807" s="3" t="s">
        <v>25</v>
      </c>
    </row>
    <row r="1808" spans="1:15">
      <c r="A1808" s="3" t="s">
        <v>15</v>
      </c>
      <c r="B1808" s="3" t="str">
        <f>"FES1162741674"</f>
        <v>FES1162741674</v>
      </c>
      <c r="C1808" s="3" t="s">
        <v>1228</v>
      </c>
      <c r="D1808" s="3">
        <v>1</v>
      </c>
      <c r="E1808" s="3" t="str">
        <f>"2170733214"</f>
        <v>2170733214</v>
      </c>
      <c r="F1808" s="3" t="s">
        <v>17</v>
      </c>
      <c r="G1808" s="3" t="s">
        <v>18</v>
      </c>
      <c r="H1808" s="3" t="s">
        <v>18</v>
      </c>
      <c r="I1808" s="3" t="s">
        <v>33</v>
      </c>
      <c r="J1808" s="3" t="s">
        <v>229</v>
      </c>
      <c r="K1808" s="3" t="s">
        <v>1572</v>
      </c>
      <c r="L1808" s="4">
        <v>0.48333333333333334</v>
      </c>
      <c r="M1808" s="3" t="s">
        <v>229</v>
      </c>
      <c r="N1808" s="3" t="s">
        <v>24</v>
      </c>
      <c r="O1808" s="3" t="s">
        <v>25</v>
      </c>
    </row>
    <row r="1809" spans="1:15">
      <c r="A1809" s="3" t="s">
        <v>15</v>
      </c>
      <c r="B1809" s="3" t="str">
        <f>"FES1162741676"</f>
        <v>FES1162741676</v>
      </c>
      <c r="C1809" s="3" t="s">
        <v>1228</v>
      </c>
      <c r="D1809" s="3">
        <v>1</v>
      </c>
      <c r="E1809" s="3" t="str">
        <f>"2170732929"</f>
        <v>2170732929</v>
      </c>
      <c r="F1809" s="3" t="s">
        <v>17</v>
      </c>
      <c r="G1809" s="3" t="s">
        <v>18</v>
      </c>
      <c r="H1809" s="3" t="s">
        <v>36</v>
      </c>
      <c r="I1809" s="3" t="s">
        <v>174</v>
      </c>
      <c r="J1809" s="3" t="s">
        <v>672</v>
      </c>
      <c r="K1809" s="3" t="s">
        <v>1572</v>
      </c>
      <c r="L1809" s="4">
        <v>0.34375</v>
      </c>
      <c r="M1809" s="3" t="s">
        <v>673</v>
      </c>
      <c r="N1809" s="3" t="s">
        <v>24</v>
      </c>
      <c r="O1809" s="3" t="s">
        <v>25</v>
      </c>
    </row>
    <row r="1810" spans="1:15">
      <c r="A1810" s="3" t="s">
        <v>15</v>
      </c>
      <c r="B1810" s="3" t="str">
        <f>"FES1162741678"</f>
        <v>FES1162741678</v>
      </c>
      <c r="C1810" s="3" t="s">
        <v>1228</v>
      </c>
      <c r="D1810" s="3">
        <v>1</v>
      </c>
      <c r="E1810" s="3" t="str">
        <f>"2170732929"</f>
        <v>2170732929</v>
      </c>
      <c r="F1810" s="3" t="s">
        <v>17</v>
      </c>
      <c r="G1810" s="3" t="s">
        <v>18</v>
      </c>
      <c r="H1810" s="3" t="s">
        <v>36</v>
      </c>
      <c r="I1810" s="3" t="s">
        <v>174</v>
      </c>
      <c r="J1810" s="3" t="s">
        <v>672</v>
      </c>
      <c r="K1810" s="3" t="s">
        <v>1572</v>
      </c>
      <c r="L1810" s="4">
        <v>0.34375</v>
      </c>
      <c r="M1810" s="3" t="s">
        <v>673</v>
      </c>
      <c r="N1810" s="3" t="s">
        <v>24</v>
      </c>
      <c r="O1810" s="3" t="s">
        <v>25</v>
      </c>
    </row>
    <row r="1811" spans="1:15">
      <c r="A1811" s="3" t="s">
        <v>15</v>
      </c>
      <c r="B1811" s="3" t="str">
        <f>"FES1162741664"</f>
        <v>FES1162741664</v>
      </c>
      <c r="C1811" s="3" t="s">
        <v>1228</v>
      </c>
      <c r="D1811" s="3">
        <v>0</v>
      </c>
      <c r="E1811" s="3" t="str">
        <f>"2170733193"</f>
        <v>2170733193</v>
      </c>
      <c r="F1811" s="3" t="s">
        <v>17</v>
      </c>
      <c r="G1811" s="3" t="s">
        <v>18</v>
      </c>
      <c r="H1811" s="3" t="s">
        <v>18</v>
      </c>
      <c r="I1811" s="3" t="s">
        <v>151</v>
      </c>
      <c r="J1811" s="3" t="s">
        <v>1617</v>
      </c>
      <c r="K1811" s="3" t="s">
        <v>1572</v>
      </c>
      <c r="L1811" s="4">
        <v>0.34583333333333338</v>
      </c>
      <c r="M1811" s="3" t="s">
        <v>1618</v>
      </c>
      <c r="N1811" s="3" t="s">
        <v>24</v>
      </c>
      <c r="O1811" s="3" t="s">
        <v>25</v>
      </c>
    </row>
    <row r="1812" spans="1:15">
      <c r="A1812" s="3" t="s">
        <v>15</v>
      </c>
      <c r="B1812" s="3" t="str">
        <f>"FES1162741736"</f>
        <v>FES1162741736</v>
      </c>
      <c r="C1812" s="3" t="s">
        <v>1228</v>
      </c>
      <c r="D1812" s="3">
        <v>0</v>
      </c>
      <c r="E1812" s="3" t="str">
        <f>"2170730442"</f>
        <v>2170730442</v>
      </c>
      <c r="F1812" s="3" t="s">
        <v>17</v>
      </c>
      <c r="G1812" s="3" t="s">
        <v>18</v>
      </c>
      <c r="H1812" s="3" t="s">
        <v>66</v>
      </c>
      <c r="I1812" s="3" t="s">
        <v>67</v>
      </c>
      <c r="J1812" s="3" t="s">
        <v>298</v>
      </c>
      <c r="K1812" s="3" t="s">
        <v>1572</v>
      </c>
      <c r="L1812" s="4">
        <v>0.3972222222222222</v>
      </c>
      <c r="M1812" s="3" t="s">
        <v>1619</v>
      </c>
      <c r="N1812" s="3" t="s">
        <v>24</v>
      </c>
      <c r="O1812" s="3" t="s">
        <v>25</v>
      </c>
    </row>
    <row r="1813" spans="1:15">
      <c r="A1813" s="3" t="s">
        <v>15</v>
      </c>
      <c r="B1813" s="3" t="str">
        <f>"FES1162741618"</f>
        <v>FES1162741618</v>
      </c>
      <c r="C1813" s="3" t="s">
        <v>1228</v>
      </c>
      <c r="D1813" s="3">
        <v>0</v>
      </c>
      <c r="E1813" s="3" t="str">
        <f>"2170733158"</f>
        <v>2170733158</v>
      </c>
      <c r="F1813" s="3" t="s">
        <v>17</v>
      </c>
      <c r="G1813" s="3" t="s">
        <v>18</v>
      </c>
      <c r="H1813" s="3" t="s">
        <v>18</v>
      </c>
      <c r="I1813" s="3" t="s">
        <v>33</v>
      </c>
      <c r="J1813" s="3" t="s">
        <v>34</v>
      </c>
      <c r="K1813" s="3" t="s">
        <v>1572</v>
      </c>
      <c r="L1813" s="4">
        <v>0.3666666666666667</v>
      </c>
      <c r="M1813" s="3" t="s">
        <v>444</v>
      </c>
      <c r="N1813" s="3" t="s">
        <v>24</v>
      </c>
      <c r="O1813" s="3" t="s">
        <v>25</v>
      </c>
    </row>
    <row r="1814" spans="1:15">
      <c r="A1814" s="3" t="s">
        <v>15</v>
      </c>
      <c r="B1814" s="3" t="str">
        <f>"FES1162741665"</f>
        <v>FES1162741665</v>
      </c>
      <c r="C1814" s="3" t="s">
        <v>1228</v>
      </c>
      <c r="D1814" s="3">
        <v>1</v>
      </c>
      <c r="E1814" s="3" t="str">
        <f>"2170733195"</f>
        <v>2170733195</v>
      </c>
      <c r="F1814" s="3" t="s">
        <v>17</v>
      </c>
      <c r="G1814" s="3" t="s">
        <v>18</v>
      </c>
      <c r="H1814" s="3" t="s">
        <v>36</v>
      </c>
      <c r="I1814" s="3" t="s">
        <v>37</v>
      </c>
      <c r="J1814" s="3" t="s">
        <v>260</v>
      </c>
      <c r="K1814" s="3" t="s">
        <v>1572</v>
      </c>
      <c r="L1814" s="4">
        <v>0.40277777777777773</v>
      </c>
      <c r="M1814" s="3" t="s">
        <v>379</v>
      </c>
      <c r="N1814" s="3" t="s">
        <v>24</v>
      </c>
      <c r="O1814" s="3" t="s">
        <v>25</v>
      </c>
    </row>
    <row r="1815" spans="1:15">
      <c r="A1815" s="3" t="s">
        <v>15</v>
      </c>
      <c r="B1815" s="3" t="str">
        <f>"FES1162741760"</f>
        <v>FES1162741760</v>
      </c>
      <c r="C1815" s="3" t="s">
        <v>1228</v>
      </c>
      <c r="D1815" s="3">
        <v>0</v>
      </c>
      <c r="E1815" s="3" t="str">
        <f>"2170733263"</f>
        <v>2170733263</v>
      </c>
      <c r="F1815" s="3" t="s">
        <v>17</v>
      </c>
      <c r="G1815" s="3" t="s">
        <v>18</v>
      </c>
      <c r="H1815" s="3" t="s">
        <v>36</v>
      </c>
      <c r="I1815" s="3" t="s">
        <v>174</v>
      </c>
      <c r="J1815" s="3" t="s">
        <v>959</v>
      </c>
      <c r="K1815" s="3" t="s">
        <v>1572</v>
      </c>
      <c r="L1815" s="4">
        <v>0.35416666666666669</v>
      </c>
      <c r="M1815" s="3" t="s">
        <v>1222</v>
      </c>
      <c r="N1815" s="3" t="s">
        <v>24</v>
      </c>
      <c r="O1815" s="3" t="s">
        <v>25</v>
      </c>
    </row>
    <row r="1816" spans="1:15">
      <c r="A1816" s="3" t="s">
        <v>15</v>
      </c>
      <c r="B1816" s="3" t="str">
        <f>"FES1162741744"</f>
        <v>FES1162741744</v>
      </c>
      <c r="C1816" s="3" t="s">
        <v>1228</v>
      </c>
      <c r="D1816" s="3">
        <v>0</v>
      </c>
      <c r="E1816" s="3" t="str">
        <f>"2170733258"</f>
        <v>2170733258</v>
      </c>
      <c r="F1816" s="3" t="s">
        <v>17</v>
      </c>
      <c r="G1816" s="3" t="s">
        <v>18</v>
      </c>
      <c r="H1816" s="3" t="s">
        <v>36</v>
      </c>
      <c r="I1816" s="3" t="s">
        <v>1440</v>
      </c>
      <c r="J1816" s="3" t="s">
        <v>1441</v>
      </c>
      <c r="K1816" s="3" t="s">
        <v>1572</v>
      </c>
      <c r="L1816" s="4">
        <v>0.68472222222222223</v>
      </c>
      <c r="M1816" s="3" t="s">
        <v>1604</v>
      </c>
      <c r="N1816" s="3" t="s">
        <v>24</v>
      </c>
      <c r="O1816" s="3" t="s">
        <v>25</v>
      </c>
    </row>
    <row r="1817" spans="1:15">
      <c r="A1817" s="3" t="s">
        <v>15</v>
      </c>
      <c r="B1817" s="3" t="str">
        <f>"FES1162741737"</f>
        <v>FES1162741737</v>
      </c>
      <c r="C1817" s="3" t="s">
        <v>1228</v>
      </c>
      <c r="D1817" s="3">
        <v>1</v>
      </c>
      <c r="E1817" s="3" t="str">
        <f>"2170728841"</f>
        <v>2170728841</v>
      </c>
      <c r="F1817" s="3" t="s">
        <v>17</v>
      </c>
      <c r="G1817" s="3" t="s">
        <v>18</v>
      </c>
      <c r="H1817" s="3" t="s">
        <v>18</v>
      </c>
      <c r="I1817" s="3" t="s">
        <v>338</v>
      </c>
      <c r="J1817" s="3" t="s">
        <v>1620</v>
      </c>
      <c r="K1817" s="3" t="s">
        <v>1572</v>
      </c>
      <c r="L1817" s="4">
        <v>0.42777777777777781</v>
      </c>
      <c r="M1817" s="3" t="s">
        <v>1621</v>
      </c>
      <c r="N1817" s="3" t="s">
        <v>24</v>
      </c>
      <c r="O1817" s="3" t="s">
        <v>25</v>
      </c>
    </row>
    <row r="1818" spans="1:15">
      <c r="A1818" s="3" t="s">
        <v>15</v>
      </c>
      <c r="B1818" s="3" t="str">
        <f>"FES1162741791"</f>
        <v>FES1162741791</v>
      </c>
      <c r="C1818" s="3" t="s">
        <v>1228</v>
      </c>
      <c r="D1818" s="3">
        <v>1</v>
      </c>
      <c r="E1818" s="3" t="str">
        <f>"2170733301"</f>
        <v>2170733301</v>
      </c>
      <c r="F1818" s="3" t="s">
        <v>17</v>
      </c>
      <c r="G1818" s="3" t="s">
        <v>18</v>
      </c>
      <c r="H1818" s="3" t="s">
        <v>100</v>
      </c>
      <c r="I1818" s="3" t="s">
        <v>117</v>
      </c>
      <c r="J1818" s="3" t="s">
        <v>285</v>
      </c>
      <c r="K1818" s="3" t="s">
        <v>1572</v>
      </c>
      <c r="L1818" s="4">
        <v>0.41666666666666669</v>
      </c>
      <c r="M1818" s="3" t="s">
        <v>1573</v>
      </c>
      <c r="N1818" s="3" t="s">
        <v>24</v>
      </c>
      <c r="O1818" s="3" t="s">
        <v>25</v>
      </c>
    </row>
    <row r="1819" spans="1:15">
      <c r="A1819" s="3" t="s">
        <v>15</v>
      </c>
      <c r="B1819" s="3" t="str">
        <f>"FES1162741686"</f>
        <v>FES1162741686</v>
      </c>
      <c r="C1819" s="3" t="s">
        <v>1228</v>
      </c>
      <c r="D1819" s="3">
        <v>1</v>
      </c>
      <c r="E1819" s="3" t="str">
        <f>"2170733230"</f>
        <v>2170733230</v>
      </c>
      <c r="F1819" s="3" t="s">
        <v>17</v>
      </c>
      <c r="G1819" s="3" t="s">
        <v>18</v>
      </c>
      <c r="H1819" s="3" t="s">
        <v>18</v>
      </c>
      <c r="I1819" s="3" t="s">
        <v>33</v>
      </c>
      <c r="J1819" s="3" t="s">
        <v>1622</v>
      </c>
      <c r="K1819" s="3" t="s">
        <v>1572</v>
      </c>
      <c r="L1819" s="4">
        <v>0.30555555555555552</v>
      </c>
      <c r="M1819" s="3" t="s">
        <v>1623</v>
      </c>
      <c r="N1819" s="3" t="s">
        <v>24</v>
      </c>
      <c r="O1819" s="3" t="s">
        <v>25</v>
      </c>
    </row>
    <row r="1820" spans="1:15">
      <c r="A1820" s="3" t="s">
        <v>15</v>
      </c>
      <c r="B1820" s="3" t="str">
        <f>"FES1162741720"</f>
        <v>FES1162741720</v>
      </c>
      <c r="C1820" s="3" t="s">
        <v>1228</v>
      </c>
      <c r="D1820" s="3">
        <v>1</v>
      </c>
      <c r="E1820" s="3" t="str">
        <f>"2170733254"</f>
        <v>2170733254</v>
      </c>
      <c r="F1820" s="3" t="s">
        <v>17</v>
      </c>
      <c r="G1820" s="3" t="s">
        <v>18</v>
      </c>
      <c r="H1820" s="3" t="s">
        <v>18</v>
      </c>
      <c r="I1820" s="3" t="s">
        <v>29</v>
      </c>
      <c r="J1820" s="3" t="s">
        <v>568</v>
      </c>
      <c r="K1820" s="3" t="s">
        <v>1572</v>
      </c>
      <c r="L1820" s="4">
        <v>0.35833333333333334</v>
      </c>
      <c r="M1820" s="3" t="s">
        <v>1200</v>
      </c>
      <c r="N1820" s="3" t="s">
        <v>24</v>
      </c>
      <c r="O1820" s="3" t="s">
        <v>25</v>
      </c>
    </row>
    <row r="1821" spans="1:15">
      <c r="A1821" s="3" t="s">
        <v>15</v>
      </c>
      <c r="B1821" s="3" t="str">
        <f>"FES1162741716"</f>
        <v>FES1162741716</v>
      </c>
      <c r="C1821" s="3" t="s">
        <v>1228</v>
      </c>
      <c r="D1821" s="3">
        <v>1</v>
      </c>
      <c r="E1821" s="3" t="str">
        <f>"2170733236"</f>
        <v>2170733236</v>
      </c>
      <c r="F1821" s="3" t="s">
        <v>17</v>
      </c>
      <c r="G1821" s="3" t="s">
        <v>18</v>
      </c>
      <c r="H1821" s="3" t="s">
        <v>18</v>
      </c>
      <c r="I1821" s="3" t="s">
        <v>171</v>
      </c>
      <c r="J1821" s="3" t="s">
        <v>189</v>
      </c>
      <c r="K1821" s="3" t="s">
        <v>1572</v>
      </c>
      <c r="L1821" s="4">
        <v>0.33333333333333331</v>
      </c>
      <c r="M1821" s="3" t="s">
        <v>412</v>
      </c>
      <c r="N1821" s="3" t="s">
        <v>24</v>
      </c>
      <c r="O1821" s="3" t="s">
        <v>25</v>
      </c>
    </row>
    <row r="1822" spans="1:15">
      <c r="A1822" s="3" t="s">
        <v>15</v>
      </c>
      <c r="B1822" s="3" t="str">
        <f>"FES1162741725"</f>
        <v>FES1162741725</v>
      </c>
      <c r="C1822" s="3" t="s">
        <v>1228</v>
      </c>
      <c r="D1822" s="3">
        <v>1</v>
      </c>
      <c r="E1822" s="3" t="str">
        <f>"2170731348"</f>
        <v>2170731348</v>
      </c>
      <c r="F1822" s="3" t="s">
        <v>17</v>
      </c>
      <c r="G1822" s="3" t="s">
        <v>18</v>
      </c>
      <c r="H1822" s="3" t="s">
        <v>66</v>
      </c>
      <c r="I1822" s="3" t="s">
        <v>67</v>
      </c>
      <c r="J1822" s="3" t="s">
        <v>68</v>
      </c>
      <c r="K1822" s="3" t="s">
        <v>1572</v>
      </c>
      <c r="L1822" s="4">
        <v>0.38194444444444442</v>
      </c>
      <c r="M1822" s="3" t="s">
        <v>502</v>
      </c>
      <c r="N1822" s="3" t="s">
        <v>24</v>
      </c>
      <c r="O1822" s="3" t="s">
        <v>25</v>
      </c>
    </row>
    <row r="1823" spans="1:15">
      <c r="A1823" s="3" t="s">
        <v>15</v>
      </c>
      <c r="B1823" s="3" t="str">
        <f>"FES1162741731"</f>
        <v>FES1162741731</v>
      </c>
      <c r="C1823" s="3" t="s">
        <v>1228</v>
      </c>
      <c r="D1823" s="3">
        <v>1</v>
      </c>
      <c r="E1823" s="3" t="str">
        <f>"2170731162"</f>
        <v>2170731162</v>
      </c>
      <c r="F1823" s="3" t="s">
        <v>17</v>
      </c>
      <c r="G1823" s="3" t="s">
        <v>18</v>
      </c>
      <c r="H1823" s="3" t="s">
        <v>66</v>
      </c>
      <c r="I1823" s="3" t="s">
        <v>67</v>
      </c>
      <c r="J1823" s="3" t="s">
        <v>287</v>
      </c>
      <c r="K1823" s="3" t="s">
        <v>1572</v>
      </c>
      <c r="L1823" s="4">
        <v>0.34722222222222227</v>
      </c>
      <c r="M1823" s="3" t="s">
        <v>787</v>
      </c>
      <c r="N1823" s="3" t="s">
        <v>24</v>
      </c>
      <c r="O1823" s="3" t="s">
        <v>25</v>
      </c>
    </row>
    <row r="1824" spans="1:15">
      <c r="A1824" s="3" t="s">
        <v>15</v>
      </c>
      <c r="B1824" s="3" t="str">
        <f>"FES1162741624"</f>
        <v>FES1162741624</v>
      </c>
      <c r="C1824" s="3" t="s">
        <v>1228</v>
      </c>
      <c r="D1824" s="3">
        <v>1</v>
      </c>
      <c r="E1824" s="3" t="str">
        <f>"2170729692"</f>
        <v>2170729692</v>
      </c>
      <c r="F1824" s="3" t="s">
        <v>17</v>
      </c>
      <c r="G1824" s="3" t="s">
        <v>18</v>
      </c>
      <c r="H1824" s="3" t="s">
        <v>66</v>
      </c>
      <c r="I1824" s="3" t="s">
        <v>67</v>
      </c>
      <c r="J1824" s="3" t="s">
        <v>578</v>
      </c>
      <c r="K1824" s="3" t="s">
        <v>1572</v>
      </c>
      <c r="L1824" s="4">
        <v>0.43055555555555558</v>
      </c>
      <c r="M1824" s="3" t="s">
        <v>1624</v>
      </c>
      <c r="N1824" s="3" t="s">
        <v>24</v>
      </c>
      <c r="O1824" s="3" t="s">
        <v>25</v>
      </c>
    </row>
    <row r="1825" spans="1:15">
      <c r="A1825" s="3" t="s">
        <v>15</v>
      </c>
      <c r="B1825" s="3" t="str">
        <f>"FES1162741680"</f>
        <v>FES1162741680</v>
      </c>
      <c r="C1825" s="3" t="s">
        <v>1228</v>
      </c>
      <c r="D1825" s="3">
        <v>1</v>
      </c>
      <c r="E1825" s="3" t="str">
        <f>"2170733217"</f>
        <v>2170733217</v>
      </c>
      <c r="F1825" s="3" t="s">
        <v>17</v>
      </c>
      <c r="G1825" s="3" t="s">
        <v>18</v>
      </c>
      <c r="H1825" s="3" t="s">
        <v>18</v>
      </c>
      <c r="I1825" s="3" t="s">
        <v>33</v>
      </c>
      <c r="J1825" s="3" t="s">
        <v>34</v>
      </c>
      <c r="K1825" s="3" t="s">
        <v>1572</v>
      </c>
      <c r="L1825" s="4">
        <v>0.3659722222222222</v>
      </c>
      <c r="M1825" s="3" t="s">
        <v>945</v>
      </c>
      <c r="N1825" s="3" t="s">
        <v>24</v>
      </c>
      <c r="O1825" s="3" t="s">
        <v>25</v>
      </c>
    </row>
    <row r="1826" spans="1:15">
      <c r="A1826" s="3" t="s">
        <v>15</v>
      </c>
      <c r="B1826" s="3" t="str">
        <f>"FES1162741683"</f>
        <v>FES1162741683</v>
      </c>
      <c r="C1826" s="3" t="s">
        <v>1228</v>
      </c>
      <c r="D1826" s="3">
        <v>1</v>
      </c>
      <c r="E1826" s="3" t="str">
        <f>"2170733227"</f>
        <v>2170733227</v>
      </c>
      <c r="F1826" s="3" t="s">
        <v>17</v>
      </c>
      <c r="G1826" s="3" t="s">
        <v>18</v>
      </c>
      <c r="H1826" s="3" t="s">
        <v>18</v>
      </c>
      <c r="I1826" s="3" t="s">
        <v>341</v>
      </c>
      <c r="J1826" s="3" t="s">
        <v>900</v>
      </c>
      <c r="K1826" s="3" t="s">
        <v>1572</v>
      </c>
      <c r="L1826" s="4">
        <v>0.54513888888888895</v>
      </c>
      <c r="M1826" s="3" t="s">
        <v>1625</v>
      </c>
      <c r="N1826" s="3" t="s">
        <v>24</v>
      </c>
      <c r="O1826" s="3" t="s">
        <v>25</v>
      </c>
    </row>
    <row r="1827" spans="1:15">
      <c r="A1827" s="3" t="s">
        <v>15</v>
      </c>
      <c r="B1827" s="3" t="str">
        <f>"FES1162741761"</f>
        <v>FES1162741761</v>
      </c>
      <c r="C1827" s="3" t="s">
        <v>1228</v>
      </c>
      <c r="D1827" s="3">
        <v>1</v>
      </c>
      <c r="E1827" s="3" t="str">
        <f>"2170733265"</f>
        <v>2170733265</v>
      </c>
      <c r="F1827" s="3" t="s">
        <v>17</v>
      </c>
      <c r="G1827" s="3" t="s">
        <v>18</v>
      </c>
      <c r="H1827" s="3" t="s">
        <v>18</v>
      </c>
      <c r="I1827" s="3" t="s">
        <v>29</v>
      </c>
      <c r="J1827" s="3" t="s">
        <v>618</v>
      </c>
      <c r="K1827" s="3" t="s">
        <v>1572</v>
      </c>
      <c r="L1827" s="4">
        <v>0.33819444444444446</v>
      </c>
      <c r="M1827" s="3" t="s">
        <v>1626</v>
      </c>
      <c r="N1827" s="3" t="s">
        <v>24</v>
      </c>
      <c r="O1827" s="3" t="s">
        <v>25</v>
      </c>
    </row>
    <row r="1828" spans="1:15">
      <c r="A1828" s="3" t="s">
        <v>15</v>
      </c>
      <c r="B1828" s="3" t="str">
        <f>"FES1162741706"</f>
        <v>FES1162741706</v>
      </c>
      <c r="C1828" s="3" t="s">
        <v>1228</v>
      </c>
      <c r="D1828" s="3">
        <v>1</v>
      </c>
      <c r="E1828" s="3" t="str">
        <f>"2170731380"</f>
        <v>2170731380</v>
      </c>
      <c r="F1828" s="3" t="s">
        <v>17</v>
      </c>
      <c r="G1828" s="3" t="s">
        <v>18</v>
      </c>
      <c r="H1828" s="3" t="s">
        <v>18</v>
      </c>
      <c r="I1828" s="3" t="s">
        <v>29</v>
      </c>
      <c r="J1828" s="3" t="s">
        <v>1627</v>
      </c>
      <c r="K1828" s="3" t="s">
        <v>1572</v>
      </c>
      <c r="L1828" s="4">
        <v>0.4375</v>
      </c>
      <c r="M1828" s="3" t="s">
        <v>1628</v>
      </c>
      <c r="N1828" s="3" t="s">
        <v>24</v>
      </c>
      <c r="O1828" s="3" t="s">
        <v>25</v>
      </c>
    </row>
    <row r="1829" spans="1:15">
      <c r="A1829" s="3" t="s">
        <v>15</v>
      </c>
      <c r="B1829" s="3" t="str">
        <f>"FES1162741767"</f>
        <v>FES1162741767</v>
      </c>
      <c r="C1829" s="3" t="s">
        <v>1228</v>
      </c>
      <c r="D1829" s="3">
        <v>1</v>
      </c>
      <c r="E1829" s="3" t="str">
        <f>"2170732641"</f>
        <v>2170732641</v>
      </c>
      <c r="F1829" s="3" t="s">
        <v>17</v>
      </c>
      <c r="G1829" s="3" t="s">
        <v>18</v>
      </c>
      <c r="H1829" s="3" t="s">
        <v>66</v>
      </c>
      <c r="I1829" s="3" t="s">
        <v>67</v>
      </c>
      <c r="J1829" s="3" t="s">
        <v>68</v>
      </c>
      <c r="K1829" s="3" t="s">
        <v>1572</v>
      </c>
      <c r="L1829" s="4">
        <v>0.38194444444444442</v>
      </c>
      <c r="M1829" s="3" t="s">
        <v>502</v>
      </c>
      <c r="N1829" s="3" t="s">
        <v>24</v>
      </c>
      <c r="O1829" s="3" t="s">
        <v>25</v>
      </c>
    </row>
    <row r="1830" spans="1:15">
      <c r="A1830" s="3" t="s">
        <v>15</v>
      </c>
      <c r="B1830" s="3" t="str">
        <f>"FES1162741638"</f>
        <v>FES1162741638</v>
      </c>
      <c r="C1830" s="3" t="s">
        <v>1228</v>
      </c>
      <c r="D1830" s="3">
        <v>1</v>
      </c>
      <c r="E1830" s="3" t="str">
        <f>"2170733170"</f>
        <v>2170733170</v>
      </c>
      <c r="F1830" s="3" t="s">
        <v>17</v>
      </c>
      <c r="G1830" s="3" t="s">
        <v>18</v>
      </c>
      <c r="H1830" s="3" t="s">
        <v>18</v>
      </c>
      <c r="I1830" s="3" t="s">
        <v>171</v>
      </c>
      <c r="J1830" s="3" t="s">
        <v>1629</v>
      </c>
      <c r="K1830" s="3" t="s">
        <v>1572</v>
      </c>
      <c r="L1830" s="4">
        <v>0.33333333333333331</v>
      </c>
      <c r="M1830" s="3" t="s">
        <v>412</v>
      </c>
      <c r="N1830" s="3" t="s">
        <v>24</v>
      </c>
      <c r="O1830" s="3" t="s">
        <v>25</v>
      </c>
    </row>
    <row r="1831" spans="1:15">
      <c r="A1831" s="3" t="s">
        <v>15</v>
      </c>
      <c r="B1831" s="3" t="str">
        <f>"FES1162741768"</f>
        <v>FES1162741768</v>
      </c>
      <c r="C1831" s="3" t="s">
        <v>1228</v>
      </c>
      <c r="D1831" s="3">
        <v>1</v>
      </c>
      <c r="E1831" s="3" t="str">
        <f>"2170733272"</f>
        <v>2170733272</v>
      </c>
      <c r="F1831" s="3" t="s">
        <v>17</v>
      </c>
      <c r="G1831" s="3" t="s">
        <v>18</v>
      </c>
      <c r="H1831" s="3" t="s">
        <v>215</v>
      </c>
      <c r="I1831" s="3" t="s">
        <v>216</v>
      </c>
      <c r="J1831" s="3" t="s">
        <v>217</v>
      </c>
      <c r="K1831" s="3" t="s">
        <v>1572</v>
      </c>
      <c r="L1831" s="4">
        <v>0.33333333333333331</v>
      </c>
      <c r="M1831" s="3" t="s">
        <v>1630</v>
      </c>
      <c r="N1831" s="3" t="s">
        <v>24</v>
      </c>
      <c r="O1831" s="3" t="s">
        <v>25</v>
      </c>
    </row>
    <row r="1832" spans="1:15">
      <c r="A1832" s="3" t="s">
        <v>15</v>
      </c>
      <c r="B1832" s="3" t="str">
        <f>"FES1162741759"</f>
        <v>FES1162741759</v>
      </c>
      <c r="C1832" s="3" t="s">
        <v>1228</v>
      </c>
      <c r="D1832" s="3">
        <v>1</v>
      </c>
      <c r="E1832" s="3" t="str">
        <f>"2170733262"</f>
        <v>2170733262</v>
      </c>
      <c r="F1832" s="3" t="s">
        <v>17</v>
      </c>
      <c r="G1832" s="3" t="s">
        <v>18</v>
      </c>
      <c r="H1832" s="3" t="s">
        <v>18</v>
      </c>
      <c r="I1832" s="3" t="s">
        <v>33</v>
      </c>
      <c r="J1832" s="3" t="s">
        <v>1631</v>
      </c>
      <c r="K1832" s="3" t="s">
        <v>1572</v>
      </c>
      <c r="L1832" s="4">
        <v>0.33333333333333331</v>
      </c>
      <c r="M1832" s="3" t="s">
        <v>1632</v>
      </c>
      <c r="N1832" s="3" t="s">
        <v>24</v>
      </c>
      <c r="O1832" s="3" t="s">
        <v>25</v>
      </c>
    </row>
    <row r="1833" spans="1:15">
      <c r="A1833" s="3" t="s">
        <v>15</v>
      </c>
      <c r="B1833" s="3" t="str">
        <f>"FES1162741718"</f>
        <v>FES1162741718</v>
      </c>
      <c r="C1833" s="3" t="s">
        <v>1228</v>
      </c>
      <c r="D1833" s="3">
        <v>1</v>
      </c>
      <c r="E1833" s="3" t="str">
        <f>"2170733252"</f>
        <v>2170733252</v>
      </c>
      <c r="F1833" s="3" t="s">
        <v>17</v>
      </c>
      <c r="G1833" s="3" t="s">
        <v>18</v>
      </c>
      <c r="H1833" s="3" t="s">
        <v>18</v>
      </c>
      <c r="I1833" s="3" t="s">
        <v>171</v>
      </c>
      <c r="J1833" s="3" t="s">
        <v>189</v>
      </c>
      <c r="K1833" s="3" t="s">
        <v>1572</v>
      </c>
      <c r="L1833" s="4">
        <v>0.33333333333333331</v>
      </c>
      <c r="M1833" s="3" t="s">
        <v>412</v>
      </c>
      <c r="N1833" s="3" t="s">
        <v>24</v>
      </c>
      <c r="O1833" s="3" t="s">
        <v>25</v>
      </c>
    </row>
    <row r="1834" spans="1:15">
      <c r="A1834" s="3" t="s">
        <v>15</v>
      </c>
      <c r="B1834" s="3" t="str">
        <f>"FES1162741783"</f>
        <v>FES1162741783</v>
      </c>
      <c r="C1834" s="3" t="s">
        <v>1228</v>
      </c>
      <c r="D1834" s="3">
        <v>1</v>
      </c>
      <c r="E1834" s="3" t="str">
        <f>"2170733292"</f>
        <v>2170733292</v>
      </c>
      <c r="F1834" s="3" t="s">
        <v>17</v>
      </c>
      <c r="G1834" s="3" t="s">
        <v>18</v>
      </c>
      <c r="H1834" s="3" t="s">
        <v>19</v>
      </c>
      <c r="I1834" s="3" t="s">
        <v>20</v>
      </c>
      <c r="J1834" s="3" t="s">
        <v>21</v>
      </c>
      <c r="K1834" s="3" t="s">
        <v>1452</v>
      </c>
      <c r="L1834" s="4">
        <v>0.30902777777777779</v>
      </c>
      <c r="M1834" s="3" t="s">
        <v>788</v>
      </c>
      <c r="N1834" s="3" t="s">
        <v>24</v>
      </c>
      <c r="O1834" s="3" t="s">
        <v>25</v>
      </c>
    </row>
    <row r="1835" spans="1:15">
      <c r="A1835" s="3" t="s">
        <v>15</v>
      </c>
      <c r="B1835" s="3" t="str">
        <f>"FES1162741796"</f>
        <v>FES1162741796</v>
      </c>
      <c r="C1835" s="3" t="s">
        <v>1228</v>
      </c>
      <c r="D1835" s="3">
        <v>1</v>
      </c>
      <c r="E1835" s="3" t="str">
        <f>"2170733309"</f>
        <v>2170733309</v>
      </c>
      <c r="F1835" s="3" t="s">
        <v>17</v>
      </c>
      <c r="G1835" s="3" t="s">
        <v>18</v>
      </c>
      <c r="H1835" s="3" t="s">
        <v>19</v>
      </c>
      <c r="I1835" s="3" t="s">
        <v>20</v>
      </c>
      <c r="J1835" s="3" t="s">
        <v>576</v>
      </c>
      <c r="K1835" s="3" t="s">
        <v>1572</v>
      </c>
      <c r="L1835" s="4">
        <v>0.34652777777777777</v>
      </c>
      <c r="M1835" s="3" t="s">
        <v>1633</v>
      </c>
      <c r="N1835" s="3" t="s">
        <v>24</v>
      </c>
      <c r="O1835" s="3" t="s">
        <v>25</v>
      </c>
    </row>
    <row r="1836" spans="1:15">
      <c r="A1836" s="3" t="s">
        <v>15</v>
      </c>
      <c r="B1836" s="3" t="str">
        <f>"FES1162741787"</f>
        <v>FES1162741787</v>
      </c>
      <c r="C1836" s="3" t="s">
        <v>1228</v>
      </c>
      <c r="D1836" s="3">
        <v>1</v>
      </c>
      <c r="E1836" s="3" t="str">
        <f>"2170733296"</f>
        <v>2170733296</v>
      </c>
      <c r="F1836" s="3" t="s">
        <v>17</v>
      </c>
      <c r="G1836" s="3" t="s">
        <v>18</v>
      </c>
      <c r="H1836" s="3" t="s">
        <v>19</v>
      </c>
      <c r="I1836" s="3" t="s">
        <v>51</v>
      </c>
      <c r="J1836" s="3" t="s">
        <v>1634</v>
      </c>
      <c r="K1836" s="3" t="s">
        <v>1572</v>
      </c>
      <c r="L1836" s="4">
        <v>0.42083333333333334</v>
      </c>
      <c r="M1836" s="3" t="s">
        <v>1635</v>
      </c>
      <c r="N1836" s="3" t="s">
        <v>24</v>
      </c>
      <c r="O1836" s="3" t="s">
        <v>25</v>
      </c>
    </row>
    <row r="1837" spans="1:15">
      <c r="A1837" s="3" t="s">
        <v>15</v>
      </c>
      <c r="B1837" s="3" t="str">
        <f>"FES1162741808"</f>
        <v>FES1162741808</v>
      </c>
      <c r="C1837" s="3" t="s">
        <v>1228</v>
      </c>
      <c r="D1837" s="3">
        <v>1</v>
      </c>
      <c r="E1837" s="3" t="str">
        <f>"2170733325"</f>
        <v>2170733325</v>
      </c>
      <c r="F1837" s="3" t="s">
        <v>17</v>
      </c>
      <c r="G1837" s="3" t="s">
        <v>18</v>
      </c>
      <c r="H1837" s="3" t="s">
        <v>70</v>
      </c>
      <c r="I1837" s="3" t="s">
        <v>71</v>
      </c>
      <c r="J1837" s="3" t="s">
        <v>252</v>
      </c>
      <c r="K1837" s="3" t="s">
        <v>1572</v>
      </c>
      <c r="L1837" s="4">
        <v>0.34166666666666662</v>
      </c>
      <c r="M1837" s="3" t="s">
        <v>253</v>
      </c>
      <c r="N1837" s="3" t="s">
        <v>24</v>
      </c>
      <c r="O1837" s="3" t="s">
        <v>25</v>
      </c>
    </row>
    <row r="1838" spans="1:15">
      <c r="A1838" s="3" t="s">
        <v>15</v>
      </c>
      <c r="B1838" s="3" t="str">
        <f>"FES1162741795"</f>
        <v>FES1162741795</v>
      </c>
      <c r="C1838" s="3" t="s">
        <v>1228</v>
      </c>
      <c r="D1838" s="3">
        <v>1</v>
      </c>
      <c r="E1838" s="3" t="str">
        <f>"2170733306"</f>
        <v>2170733306</v>
      </c>
      <c r="F1838" s="3" t="s">
        <v>17</v>
      </c>
      <c r="G1838" s="3" t="s">
        <v>18</v>
      </c>
      <c r="H1838" s="3" t="s">
        <v>19</v>
      </c>
      <c r="I1838" s="3" t="s">
        <v>236</v>
      </c>
      <c r="J1838" s="3" t="s">
        <v>257</v>
      </c>
      <c r="K1838" s="3" t="s">
        <v>1572</v>
      </c>
      <c r="L1838" s="4">
        <v>0.34513888888888888</v>
      </c>
      <c r="M1838" s="3" t="s">
        <v>819</v>
      </c>
      <c r="N1838" s="3" t="s">
        <v>24</v>
      </c>
      <c r="O1838" s="3" t="s">
        <v>25</v>
      </c>
    </row>
    <row r="1839" spans="1:15">
      <c r="A1839" s="3" t="s">
        <v>15</v>
      </c>
      <c r="B1839" s="3" t="str">
        <f>"FES1162741811"</f>
        <v>FES1162741811</v>
      </c>
      <c r="C1839" s="3" t="s">
        <v>1228</v>
      </c>
      <c r="D1839" s="3">
        <v>1</v>
      </c>
      <c r="E1839" s="3" t="str">
        <f>"2170733330"</f>
        <v>2170733330</v>
      </c>
      <c r="F1839" s="3" t="s">
        <v>17</v>
      </c>
      <c r="G1839" s="3" t="s">
        <v>18</v>
      </c>
      <c r="H1839" s="3" t="s">
        <v>100</v>
      </c>
      <c r="I1839" s="3" t="s">
        <v>101</v>
      </c>
      <c r="J1839" s="3" t="s">
        <v>1636</v>
      </c>
      <c r="K1839" s="3" t="s">
        <v>1572</v>
      </c>
      <c r="L1839" s="4">
        <v>0.38750000000000001</v>
      </c>
      <c r="M1839" s="3" t="s">
        <v>1637</v>
      </c>
      <c r="N1839" s="3" t="s">
        <v>24</v>
      </c>
      <c r="O1839" s="3" t="s">
        <v>25</v>
      </c>
    </row>
    <row r="1840" spans="1:15">
      <c r="A1840" s="3" t="s">
        <v>15</v>
      </c>
      <c r="B1840" s="3" t="str">
        <f>"FES1162741785"</f>
        <v>FES1162741785</v>
      </c>
      <c r="C1840" s="3" t="s">
        <v>1228</v>
      </c>
      <c r="D1840" s="3">
        <v>1</v>
      </c>
      <c r="E1840" s="3" t="str">
        <f>"2170733294"</f>
        <v>2170733294</v>
      </c>
      <c r="F1840" s="3" t="s">
        <v>17</v>
      </c>
      <c r="G1840" s="3" t="s">
        <v>18</v>
      </c>
      <c r="H1840" s="3" t="s">
        <v>19</v>
      </c>
      <c r="I1840" s="3" t="s">
        <v>277</v>
      </c>
      <c r="J1840" s="3" t="s">
        <v>1638</v>
      </c>
      <c r="K1840" s="3" t="s">
        <v>1572</v>
      </c>
      <c r="L1840" s="4">
        <v>0.42430555555555555</v>
      </c>
      <c r="M1840" s="3" t="s">
        <v>1639</v>
      </c>
      <c r="N1840" s="3" t="s">
        <v>24</v>
      </c>
      <c r="O1840" s="3" t="s">
        <v>25</v>
      </c>
    </row>
    <row r="1841" spans="1:15">
      <c r="A1841" s="3" t="s">
        <v>15</v>
      </c>
      <c r="B1841" s="3" t="str">
        <f>"FES1162741746"</f>
        <v>FES1162741746</v>
      </c>
      <c r="C1841" s="3" t="s">
        <v>1228</v>
      </c>
      <c r="D1841" s="3">
        <v>1</v>
      </c>
      <c r="E1841" s="3" t="str">
        <f>"2170733261"</f>
        <v>2170733261</v>
      </c>
      <c r="F1841" s="3" t="s">
        <v>17</v>
      </c>
      <c r="G1841" s="3" t="s">
        <v>18</v>
      </c>
      <c r="H1841" s="3" t="s">
        <v>36</v>
      </c>
      <c r="I1841" s="3" t="s">
        <v>174</v>
      </c>
      <c r="J1841" s="3" t="s">
        <v>451</v>
      </c>
      <c r="K1841" s="3" t="s">
        <v>1572</v>
      </c>
      <c r="L1841" s="4">
        <v>0.40138888888888885</v>
      </c>
      <c r="M1841" s="3" t="s">
        <v>1324</v>
      </c>
      <c r="N1841" s="3" t="s">
        <v>24</v>
      </c>
      <c r="O1841" s="3" t="s">
        <v>25</v>
      </c>
    </row>
    <row r="1842" spans="1:15">
      <c r="A1842" s="3" t="s">
        <v>15</v>
      </c>
      <c r="B1842" s="3" t="str">
        <f>"FES1162741800"</f>
        <v>FES1162741800</v>
      </c>
      <c r="C1842" s="3" t="s">
        <v>1228</v>
      </c>
      <c r="D1842" s="3">
        <v>1</v>
      </c>
      <c r="E1842" s="3" t="str">
        <f>"2170733314"</f>
        <v>2170733314</v>
      </c>
      <c r="F1842" s="3" t="s">
        <v>17</v>
      </c>
      <c r="G1842" s="3" t="s">
        <v>18</v>
      </c>
      <c r="H1842" s="3" t="s">
        <v>19</v>
      </c>
      <c r="I1842" s="3" t="s">
        <v>20</v>
      </c>
      <c r="J1842" s="3" t="s">
        <v>56</v>
      </c>
      <c r="K1842" s="3" t="s">
        <v>1572</v>
      </c>
      <c r="L1842" s="4">
        <v>0.35416666666666669</v>
      </c>
      <c r="M1842" s="3" t="s">
        <v>259</v>
      </c>
      <c r="N1842" s="3" t="s">
        <v>24</v>
      </c>
      <c r="O1842" s="3" t="s">
        <v>25</v>
      </c>
    </row>
    <row r="1843" spans="1:15">
      <c r="A1843" s="3" t="s">
        <v>15</v>
      </c>
      <c r="B1843" s="3" t="str">
        <f>"FES1162741814"</f>
        <v>FES1162741814</v>
      </c>
      <c r="C1843" s="3" t="s">
        <v>1228</v>
      </c>
      <c r="D1843" s="3">
        <v>1</v>
      </c>
      <c r="E1843" s="3" t="str">
        <f>"2170733334"</f>
        <v>2170733334</v>
      </c>
      <c r="F1843" s="3" t="s">
        <v>17</v>
      </c>
      <c r="G1843" s="3" t="s">
        <v>18</v>
      </c>
      <c r="H1843" s="3" t="s">
        <v>19</v>
      </c>
      <c r="I1843" s="3" t="s">
        <v>86</v>
      </c>
      <c r="J1843" s="3" t="s">
        <v>106</v>
      </c>
      <c r="K1843" s="3" t="s">
        <v>1572</v>
      </c>
      <c r="L1843" s="4">
        <v>0.3520833333333333</v>
      </c>
      <c r="M1843" s="3" t="s">
        <v>1640</v>
      </c>
      <c r="N1843" s="3" t="s">
        <v>24</v>
      </c>
      <c r="O1843" s="3" t="s">
        <v>25</v>
      </c>
    </row>
    <row r="1844" spans="1:15">
      <c r="A1844" s="3" t="s">
        <v>15</v>
      </c>
      <c r="B1844" s="3" t="str">
        <f>"FES1162741805"</f>
        <v>FES1162741805</v>
      </c>
      <c r="C1844" s="3" t="s">
        <v>1228</v>
      </c>
      <c r="D1844" s="3">
        <v>1</v>
      </c>
      <c r="E1844" s="3" t="str">
        <f>"2170733323"</f>
        <v>2170733323</v>
      </c>
      <c r="F1844" s="3" t="s">
        <v>17</v>
      </c>
      <c r="G1844" s="3" t="s">
        <v>18</v>
      </c>
      <c r="H1844" s="3" t="s">
        <v>19</v>
      </c>
      <c r="I1844" s="3" t="s">
        <v>20</v>
      </c>
      <c r="J1844" s="3" t="s">
        <v>21</v>
      </c>
      <c r="K1844" s="3" t="s">
        <v>1452</v>
      </c>
      <c r="L1844" s="4">
        <v>0.33333333333333331</v>
      </c>
      <c r="M1844" s="3" t="s">
        <v>788</v>
      </c>
      <c r="N1844" s="3" t="s">
        <v>24</v>
      </c>
      <c r="O1844" s="3" t="s">
        <v>25</v>
      </c>
    </row>
    <row r="1845" spans="1:15">
      <c r="A1845" s="3" t="s">
        <v>15</v>
      </c>
      <c r="B1845" s="3" t="str">
        <f>"FES1162741679"</f>
        <v>FES1162741679</v>
      </c>
      <c r="C1845" s="3" t="s">
        <v>1228</v>
      </c>
      <c r="D1845" s="3">
        <v>1</v>
      </c>
      <c r="E1845" s="3" t="str">
        <f>"2170733144"</f>
        <v>2170733144</v>
      </c>
      <c r="F1845" s="3" t="s">
        <v>17</v>
      </c>
      <c r="G1845" s="3" t="s">
        <v>18</v>
      </c>
      <c r="H1845" s="3" t="s">
        <v>100</v>
      </c>
      <c r="I1845" s="3" t="s">
        <v>101</v>
      </c>
      <c r="J1845" s="3" t="s">
        <v>731</v>
      </c>
      <c r="K1845" s="3" t="s">
        <v>1572</v>
      </c>
      <c r="L1845" s="4">
        <v>0.41319444444444442</v>
      </c>
      <c r="M1845" s="3" t="s">
        <v>1641</v>
      </c>
      <c r="N1845" s="3" t="s">
        <v>24</v>
      </c>
      <c r="O1845" s="3" t="s">
        <v>25</v>
      </c>
    </row>
    <row r="1846" spans="1:15">
      <c r="A1846" s="3" t="s">
        <v>15</v>
      </c>
      <c r="B1846" s="3" t="str">
        <f>"FES1162741771"</f>
        <v>FES1162741771</v>
      </c>
      <c r="C1846" s="3" t="s">
        <v>1228</v>
      </c>
      <c r="D1846" s="3">
        <v>1</v>
      </c>
      <c r="E1846" s="3" t="str">
        <f>"2170733275"</f>
        <v>2170733275</v>
      </c>
      <c r="F1846" s="3" t="s">
        <v>214</v>
      </c>
      <c r="G1846" s="3" t="s">
        <v>18</v>
      </c>
      <c r="H1846" s="3" t="s">
        <v>70</v>
      </c>
      <c r="I1846" s="3" t="s">
        <v>71</v>
      </c>
      <c r="J1846" s="3" t="s">
        <v>671</v>
      </c>
      <c r="K1846" s="3" t="s">
        <v>1572</v>
      </c>
      <c r="L1846" s="4">
        <v>0.4152777777777778</v>
      </c>
      <c r="M1846" s="3" t="s">
        <v>1208</v>
      </c>
      <c r="N1846" s="3" t="s">
        <v>24</v>
      </c>
      <c r="O1846" s="3" t="s">
        <v>25</v>
      </c>
    </row>
    <row r="1847" spans="1:15">
      <c r="A1847" s="3" t="s">
        <v>15</v>
      </c>
      <c r="B1847" s="3" t="str">
        <f>"FES1162741817"</f>
        <v>FES1162741817</v>
      </c>
      <c r="C1847" s="3" t="s">
        <v>1228</v>
      </c>
      <c r="D1847" s="3">
        <v>1</v>
      </c>
      <c r="E1847" s="3" t="str">
        <f>"2170733339"</f>
        <v>2170733339</v>
      </c>
      <c r="F1847" s="3" t="s">
        <v>17</v>
      </c>
      <c r="G1847" s="3" t="s">
        <v>18</v>
      </c>
      <c r="H1847" s="3" t="s">
        <v>19</v>
      </c>
      <c r="I1847" s="3" t="s">
        <v>51</v>
      </c>
      <c r="J1847" s="3" t="s">
        <v>129</v>
      </c>
      <c r="K1847" s="3" t="s">
        <v>1572</v>
      </c>
      <c r="L1847" s="4">
        <v>0.42430555555555555</v>
      </c>
      <c r="M1847" s="3" t="s">
        <v>1642</v>
      </c>
      <c r="N1847" s="3" t="s">
        <v>24</v>
      </c>
      <c r="O1847" s="3" t="s">
        <v>25</v>
      </c>
    </row>
    <row r="1848" spans="1:15">
      <c r="A1848" s="3" t="s">
        <v>15</v>
      </c>
      <c r="B1848" s="3" t="str">
        <f>"FES1162741820"</f>
        <v>FES1162741820</v>
      </c>
      <c r="C1848" s="3" t="s">
        <v>1228</v>
      </c>
      <c r="D1848" s="3">
        <v>1</v>
      </c>
      <c r="E1848" s="3" t="str">
        <f>"2170733340"</f>
        <v>2170733340</v>
      </c>
      <c r="F1848" s="3" t="s">
        <v>17</v>
      </c>
      <c r="G1848" s="3" t="s">
        <v>18</v>
      </c>
      <c r="H1848" s="3" t="s">
        <v>100</v>
      </c>
      <c r="I1848" s="3" t="s">
        <v>101</v>
      </c>
      <c r="J1848" s="3" t="s">
        <v>736</v>
      </c>
      <c r="K1848" s="3" t="s">
        <v>1572</v>
      </c>
      <c r="L1848" s="4">
        <v>0.32430555555555557</v>
      </c>
      <c r="M1848" s="3" t="s">
        <v>1643</v>
      </c>
      <c r="N1848" s="3" t="s">
        <v>24</v>
      </c>
      <c r="O1848" s="3" t="s">
        <v>25</v>
      </c>
    </row>
    <row r="1849" spans="1:15">
      <c r="A1849" s="3" t="s">
        <v>15</v>
      </c>
      <c r="B1849" s="3" t="str">
        <f>"FES1162741739"</f>
        <v>FES1162741739</v>
      </c>
      <c r="C1849" s="3" t="s">
        <v>1228</v>
      </c>
      <c r="D1849" s="3">
        <v>1</v>
      </c>
      <c r="E1849" s="3" t="str">
        <f>"2170732630"</f>
        <v>2170732630</v>
      </c>
      <c r="F1849" s="3" t="s">
        <v>214</v>
      </c>
      <c r="G1849" s="3" t="s">
        <v>18</v>
      </c>
      <c r="H1849" s="3" t="s">
        <v>36</v>
      </c>
      <c r="I1849" s="3" t="s">
        <v>37</v>
      </c>
      <c r="J1849" s="3" t="s">
        <v>585</v>
      </c>
      <c r="K1849" s="3" t="s">
        <v>1572</v>
      </c>
      <c r="L1849" s="4">
        <v>0.4145833333333333</v>
      </c>
      <c r="M1849" s="3" t="s">
        <v>862</v>
      </c>
      <c r="N1849" s="3" t="s">
        <v>24</v>
      </c>
      <c r="O1849" s="3" t="s">
        <v>25</v>
      </c>
    </row>
    <row r="1850" spans="1:15">
      <c r="A1850" s="5" t="s">
        <v>15</v>
      </c>
      <c r="B1850" s="5" t="str">
        <f>"FES1162741705"</f>
        <v>FES1162741705</v>
      </c>
      <c r="C1850" s="5" t="s">
        <v>1228</v>
      </c>
      <c r="D1850" s="5">
        <v>1</v>
      </c>
      <c r="E1850" s="5" t="str">
        <f>"2170731428"</f>
        <v>2170731428</v>
      </c>
      <c r="F1850" s="5" t="s">
        <v>17</v>
      </c>
      <c r="G1850" s="5" t="s">
        <v>18</v>
      </c>
      <c r="H1850" s="5" t="s">
        <v>36</v>
      </c>
      <c r="I1850" s="5" t="s">
        <v>37</v>
      </c>
      <c r="J1850" s="5" t="s">
        <v>1644</v>
      </c>
      <c r="K1850" s="5" t="s">
        <v>1572</v>
      </c>
      <c r="L1850" s="6">
        <v>0.34375</v>
      </c>
      <c r="M1850" s="5" t="s">
        <v>1645</v>
      </c>
      <c r="N1850" s="5" t="s">
        <v>24</v>
      </c>
      <c r="O1850" s="5" t="s">
        <v>25</v>
      </c>
    </row>
    <row r="1851" spans="1:15">
      <c r="A1851" s="5" t="s">
        <v>15</v>
      </c>
      <c r="B1851" s="5" t="str">
        <f>"FES1162741774"</f>
        <v>FES1162741774</v>
      </c>
      <c r="C1851" s="5" t="s">
        <v>1228</v>
      </c>
      <c r="D1851" s="5">
        <v>1</v>
      </c>
      <c r="E1851" s="5" t="str">
        <f>"2170733271"</f>
        <v>2170733271</v>
      </c>
      <c r="F1851" s="5" t="s">
        <v>17</v>
      </c>
      <c r="G1851" s="5" t="s">
        <v>18</v>
      </c>
      <c r="H1851" s="5" t="s">
        <v>36</v>
      </c>
      <c r="I1851" s="5" t="s">
        <v>37</v>
      </c>
      <c r="J1851" s="5" t="s">
        <v>585</v>
      </c>
      <c r="K1851" s="5" t="s">
        <v>1572</v>
      </c>
      <c r="L1851" s="6">
        <v>0.41388888888888892</v>
      </c>
      <c r="M1851" s="5" t="s">
        <v>862</v>
      </c>
      <c r="N1851" s="5" t="s">
        <v>24</v>
      </c>
      <c r="O1851" s="5" t="s">
        <v>25</v>
      </c>
    </row>
    <row r="1852" spans="1:15">
      <c r="A1852" s="5" t="s">
        <v>15</v>
      </c>
      <c r="B1852" s="5" t="str">
        <f>"FES1162741752"</f>
        <v>FES1162741752</v>
      </c>
      <c r="C1852" s="5" t="s">
        <v>1228</v>
      </c>
      <c r="D1852" s="5">
        <v>1</v>
      </c>
      <c r="E1852" s="5" t="str">
        <f>"2170730604"</f>
        <v>2170730604</v>
      </c>
      <c r="F1852" s="5" t="s">
        <v>17</v>
      </c>
      <c r="G1852" s="5" t="s">
        <v>18</v>
      </c>
      <c r="H1852" s="5" t="s">
        <v>36</v>
      </c>
      <c r="I1852" s="5" t="s">
        <v>37</v>
      </c>
      <c r="J1852" s="5" t="s">
        <v>260</v>
      </c>
      <c r="K1852" s="5" t="s">
        <v>1572</v>
      </c>
      <c r="L1852" s="6">
        <v>0.40277777777777773</v>
      </c>
      <c r="M1852" s="5" t="s">
        <v>379</v>
      </c>
      <c r="N1852" s="5" t="s">
        <v>24</v>
      </c>
      <c r="O1852" s="5" t="s">
        <v>25</v>
      </c>
    </row>
    <row r="1853" spans="1:15">
      <c r="A1853" s="5" t="s">
        <v>15</v>
      </c>
      <c r="B1853" s="5" t="str">
        <f>"FES1162741742"</f>
        <v>FES1162741742</v>
      </c>
      <c r="C1853" s="5" t="s">
        <v>1228</v>
      </c>
      <c r="D1853" s="5">
        <v>1</v>
      </c>
      <c r="E1853" s="5" t="str">
        <f>"2170733255"</f>
        <v>2170733255</v>
      </c>
      <c r="F1853" s="5" t="s">
        <v>17</v>
      </c>
      <c r="G1853" s="5" t="s">
        <v>18</v>
      </c>
      <c r="H1853" s="5" t="s">
        <v>36</v>
      </c>
      <c r="I1853" s="5" t="s">
        <v>174</v>
      </c>
      <c r="J1853" s="5" t="s">
        <v>451</v>
      </c>
      <c r="K1853" s="5" t="s">
        <v>1572</v>
      </c>
      <c r="L1853" s="6">
        <v>0.3972222222222222</v>
      </c>
      <c r="M1853" s="5" t="s">
        <v>1324</v>
      </c>
      <c r="N1853" s="5" t="s">
        <v>24</v>
      </c>
      <c r="O1853" s="5" t="s">
        <v>25</v>
      </c>
    </row>
    <row r="1854" spans="1:15">
      <c r="A1854" s="5" t="s">
        <v>15</v>
      </c>
      <c r="B1854" s="5" t="str">
        <f>"FES1162741826"</f>
        <v>FES1162741826</v>
      </c>
      <c r="C1854" s="5" t="s">
        <v>1228</v>
      </c>
      <c r="D1854" s="5">
        <v>1</v>
      </c>
      <c r="E1854" s="5" t="str">
        <f>"2170733006"</f>
        <v>2170733006</v>
      </c>
      <c r="F1854" s="5" t="s">
        <v>17</v>
      </c>
      <c r="G1854" s="5" t="s">
        <v>18</v>
      </c>
      <c r="H1854" s="5" t="s">
        <v>100</v>
      </c>
      <c r="I1854" s="5" t="s">
        <v>101</v>
      </c>
      <c r="J1854" s="5" t="s">
        <v>655</v>
      </c>
      <c r="K1854" s="5" t="s">
        <v>1572</v>
      </c>
      <c r="L1854" s="6">
        <v>0.40972222222222227</v>
      </c>
      <c r="M1854" s="5" t="s">
        <v>1547</v>
      </c>
      <c r="N1854" s="5" t="s">
        <v>24</v>
      </c>
      <c r="O1854" s="5" t="s">
        <v>25</v>
      </c>
    </row>
    <row r="1855" spans="1:15">
      <c r="A1855" s="5" t="s">
        <v>15</v>
      </c>
      <c r="B1855" s="5" t="str">
        <f>"FES1162741838"</f>
        <v>FES1162741838</v>
      </c>
      <c r="C1855" s="5" t="s">
        <v>1228</v>
      </c>
      <c r="D1855" s="5">
        <v>1</v>
      </c>
      <c r="E1855" s="5" t="str">
        <f>"2170733120"</f>
        <v>2170733120</v>
      </c>
      <c r="F1855" s="5" t="s">
        <v>17</v>
      </c>
      <c r="G1855" s="5" t="s">
        <v>18</v>
      </c>
      <c r="H1855" s="5" t="s">
        <v>100</v>
      </c>
      <c r="I1855" s="5" t="s">
        <v>101</v>
      </c>
      <c r="J1855" s="5" t="s">
        <v>921</v>
      </c>
      <c r="K1855" s="5" t="s">
        <v>1572</v>
      </c>
      <c r="L1855" s="6">
        <v>0.33263888888888887</v>
      </c>
      <c r="M1855" s="5" t="s">
        <v>922</v>
      </c>
      <c r="N1855" s="5" t="s">
        <v>24</v>
      </c>
      <c r="O1855" s="5" t="s">
        <v>25</v>
      </c>
    </row>
    <row r="1856" spans="1:15">
      <c r="A1856" s="5" t="s">
        <v>15</v>
      </c>
      <c r="B1856" s="5" t="str">
        <f>"FES1162741735"</f>
        <v>FES1162741735</v>
      </c>
      <c r="C1856" s="5" t="s">
        <v>1228</v>
      </c>
      <c r="D1856" s="5">
        <v>1</v>
      </c>
      <c r="E1856" s="5" t="str">
        <f>"2170730961"</f>
        <v>2170730961</v>
      </c>
      <c r="F1856" s="5" t="s">
        <v>17</v>
      </c>
      <c r="G1856" s="5" t="s">
        <v>18</v>
      </c>
      <c r="H1856" s="5" t="s">
        <v>36</v>
      </c>
      <c r="I1856" s="5" t="s">
        <v>37</v>
      </c>
      <c r="J1856" s="5" t="s">
        <v>1646</v>
      </c>
      <c r="K1856" s="5" t="s">
        <v>1572</v>
      </c>
      <c r="L1856" s="6">
        <v>0.33263888888888887</v>
      </c>
      <c r="M1856" s="5" t="s">
        <v>1095</v>
      </c>
      <c r="N1856" s="5" t="s">
        <v>24</v>
      </c>
      <c r="O1856" s="5" t="s">
        <v>25</v>
      </c>
    </row>
    <row r="1857" spans="1:15">
      <c r="A1857" s="5" t="s">
        <v>15</v>
      </c>
      <c r="B1857" s="5" t="str">
        <f>"FES1162741825"</f>
        <v>FES1162741825</v>
      </c>
      <c r="C1857" s="5" t="s">
        <v>1228</v>
      </c>
      <c r="D1857" s="5">
        <v>1</v>
      </c>
      <c r="E1857" s="5" t="str">
        <f>"2170731655"</f>
        <v>2170731655</v>
      </c>
      <c r="F1857" s="5" t="s">
        <v>17</v>
      </c>
      <c r="G1857" s="5" t="s">
        <v>18</v>
      </c>
      <c r="H1857" s="5" t="s">
        <v>100</v>
      </c>
      <c r="I1857" s="5" t="s">
        <v>101</v>
      </c>
      <c r="J1857" s="5" t="s">
        <v>515</v>
      </c>
      <c r="K1857" s="5" t="s">
        <v>1572</v>
      </c>
      <c r="L1857" s="6">
        <v>0.3923611111111111</v>
      </c>
      <c r="M1857" s="5" t="s">
        <v>516</v>
      </c>
      <c r="N1857" s="5" t="s">
        <v>24</v>
      </c>
      <c r="O1857" s="5" t="s">
        <v>25</v>
      </c>
    </row>
    <row r="1858" spans="1:15">
      <c r="A1858" s="5" t="s">
        <v>15</v>
      </c>
      <c r="B1858" s="5" t="str">
        <f>"FES1162741673"</f>
        <v>FES1162741673</v>
      </c>
      <c r="C1858" s="5" t="s">
        <v>1228</v>
      </c>
      <c r="D1858" s="5">
        <v>1</v>
      </c>
      <c r="E1858" s="5" t="str">
        <f>"2170733213"</f>
        <v>2170733213</v>
      </c>
      <c r="F1858" s="5" t="s">
        <v>17</v>
      </c>
      <c r="G1858" s="5" t="s">
        <v>18</v>
      </c>
      <c r="H1858" s="5" t="s">
        <v>18</v>
      </c>
      <c r="I1858" s="5" t="s">
        <v>168</v>
      </c>
      <c r="J1858" s="5" t="s">
        <v>1177</v>
      </c>
      <c r="K1858" s="5" t="s">
        <v>1572</v>
      </c>
      <c r="L1858" s="6">
        <v>0.36805555555555558</v>
      </c>
      <c r="M1858" s="5" t="s">
        <v>1129</v>
      </c>
      <c r="N1858" s="5" t="s">
        <v>24</v>
      </c>
      <c r="O1858" s="5" t="s">
        <v>25</v>
      </c>
    </row>
    <row r="1859" spans="1:15">
      <c r="A1859" s="5" t="s">
        <v>15</v>
      </c>
      <c r="B1859" s="5" t="str">
        <f>"FES1162741803"</f>
        <v>FES1162741803</v>
      </c>
      <c r="C1859" s="5" t="s">
        <v>1228</v>
      </c>
      <c r="D1859" s="5">
        <v>1</v>
      </c>
      <c r="E1859" s="5" t="str">
        <f>"2170733319"</f>
        <v>2170733319</v>
      </c>
      <c r="F1859" s="5" t="s">
        <v>17</v>
      </c>
      <c r="G1859" s="5" t="s">
        <v>18</v>
      </c>
      <c r="H1859" s="5" t="s">
        <v>18</v>
      </c>
      <c r="I1859" s="5" t="s">
        <v>29</v>
      </c>
      <c r="J1859" s="5" t="s">
        <v>980</v>
      </c>
      <c r="K1859" s="5" t="s">
        <v>1572</v>
      </c>
      <c r="L1859" s="6">
        <v>0.3611111111111111</v>
      </c>
      <c r="M1859" s="5" t="s">
        <v>301</v>
      </c>
      <c r="N1859" s="5" t="s">
        <v>24</v>
      </c>
      <c r="O1859" s="5" t="s">
        <v>25</v>
      </c>
    </row>
    <row r="1860" spans="1:15">
      <c r="A1860" s="5" t="s">
        <v>15</v>
      </c>
      <c r="B1860" s="5" t="str">
        <f>"FES1162741815"</f>
        <v>FES1162741815</v>
      </c>
      <c r="C1860" s="5" t="s">
        <v>1228</v>
      </c>
      <c r="D1860" s="5">
        <v>1</v>
      </c>
      <c r="E1860" s="5" t="str">
        <f>"2170729845"</f>
        <v>2170729845</v>
      </c>
      <c r="F1860" s="5" t="s">
        <v>17</v>
      </c>
      <c r="G1860" s="5" t="s">
        <v>18</v>
      </c>
      <c r="H1860" s="5" t="s">
        <v>18</v>
      </c>
      <c r="I1860" s="5" t="s">
        <v>29</v>
      </c>
      <c r="J1860" s="5" t="s">
        <v>1647</v>
      </c>
      <c r="K1860" s="5" t="s">
        <v>1572</v>
      </c>
      <c r="L1860" s="6">
        <v>0.35416666666666669</v>
      </c>
      <c r="M1860" s="5" t="s">
        <v>1648</v>
      </c>
      <c r="N1860" s="5" t="s">
        <v>24</v>
      </c>
      <c r="O1860" s="5" t="s">
        <v>25</v>
      </c>
    </row>
    <row r="1861" spans="1:15">
      <c r="A1861" s="5" t="s">
        <v>15</v>
      </c>
      <c r="B1861" s="5" t="str">
        <f>"FES1162741818"</f>
        <v>FES1162741818</v>
      </c>
      <c r="C1861" s="5" t="s">
        <v>1228</v>
      </c>
      <c r="D1861" s="5">
        <v>3</v>
      </c>
      <c r="E1861" s="5" t="str">
        <f>"2170733336"</f>
        <v>2170733336</v>
      </c>
      <c r="F1861" s="5" t="s">
        <v>17</v>
      </c>
      <c r="G1861" s="5" t="s">
        <v>18</v>
      </c>
      <c r="H1861" s="5" t="s">
        <v>18</v>
      </c>
      <c r="I1861" s="5" t="s">
        <v>33</v>
      </c>
      <c r="J1861" s="5" t="s">
        <v>1512</v>
      </c>
      <c r="K1861" s="5" t="s">
        <v>1572</v>
      </c>
      <c r="L1861" s="6">
        <v>0.37916666666666665</v>
      </c>
      <c r="M1861" s="5" t="s">
        <v>1649</v>
      </c>
      <c r="N1861" s="5" t="s">
        <v>24</v>
      </c>
      <c r="O1861" s="5" t="s">
        <v>25</v>
      </c>
    </row>
    <row r="1862" spans="1:15">
      <c r="A1862" s="5" t="s">
        <v>15</v>
      </c>
      <c r="B1862" s="5" t="str">
        <f>"FES1162741832"</f>
        <v>FES1162741832</v>
      </c>
      <c r="C1862" s="5" t="s">
        <v>1228</v>
      </c>
      <c r="D1862" s="5">
        <v>1</v>
      </c>
      <c r="E1862" s="5" t="str">
        <f>"2170733352"</f>
        <v>2170733352</v>
      </c>
      <c r="F1862" s="5" t="s">
        <v>17</v>
      </c>
      <c r="G1862" s="5" t="s">
        <v>18</v>
      </c>
      <c r="H1862" s="5" t="s">
        <v>534</v>
      </c>
      <c r="I1862" s="5" t="s">
        <v>596</v>
      </c>
      <c r="J1862" s="5" t="s">
        <v>597</v>
      </c>
      <c r="K1862" s="5" t="s">
        <v>1572</v>
      </c>
      <c r="L1862" s="6">
        <v>0.45624999999999999</v>
      </c>
      <c r="M1862" s="5" t="s">
        <v>598</v>
      </c>
      <c r="N1862" s="5" t="s">
        <v>24</v>
      </c>
      <c r="O1862" s="5" t="s">
        <v>25</v>
      </c>
    </row>
    <row r="1863" spans="1:15">
      <c r="A1863" s="3" t="s">
        <v>15</v>
      </c>
      <c r="B1863" s="3" t="str">
        <f>"FES1162741784"</f>
        <v>FES1162741784</v>
      </c>
      <c r="C1863" s="3" t="s">
        <v>1228</v>
      </c>
      <c r="D1863" s="3">
        <v>1</v>
      </c>
      <c r="E1863" s="3" t="str">
        <f>"2170733293"</f>
        <v>2170733293</v>
      </c>
      <c r="F1863" s="3" t="s">
        <v>17</v>
      </c>
      <c r="G1863" s="3" t="s">
        <v>18</v>
      </c>
      <c r="H1863" s="3" t="s">
        <v>18</v>
      </c>
      <c r="I1863" s="3" t="s">
        <v>33</v>
      </c>
      <c r="J1863" s="3" t="s">
        <v>1650</v>
      </c>
      <c r="K1863" s="3" t="s">
        <v>1572</v>
      </c>
      <c r="L1863" s="4">
        <v>0.33124999999999999</v>
      </c>
      <c r="M1863" s="3" t="s">
        <v>1651</v>
      </c>
      <c r="N1863" s="3" t="s">
        <v>24</v>
      </c>
      <c r="O1863" s="3" t="s">
        <v>25</v>
      </c>
    </row>
    <row r="1864" spans="1:15">
      <c r="A1864" s="3" t="s">
        <v>15</v>
      </c>
      <c r="B1864" s="3" t="str">
        <f>"FES1162741701"</f>
        <v>FES1162741701</v>
      </c>
      <c r="C1864" s="3" t="s">
        <v>1228</v>
      </c>
      <c r="D1864" s="3">
        <v>1</v>
      </c>
      <c r="E1864" s="3" t="str">
        <f>"217073467"</f>
        <v>217073467</v>
      </c>
      <c r="F1864" s="3" t="s">
        <v>17</v>
      </c>
      <c r="G1864" s="3" t="s">
        <v>18</v>
      </c>
      <c r="H1864" s="3" t="s">
        <v>36</v>
      </c>
      <c r="I1864" s="3" t="s">
        <v>37</v>
      </c>
      <c r="J1864" s="3" t="s">
        <v>187</v>
      </c>
      <c r="K1864" s="3" t="s">
        <v>1572</v>
      </c>
      <c r="L1864" s="4">
        <v>0.35069444444444442</v>
      </c>
      <c r="M1864" s="3" t="s">
        <v>188</v>
      </c>
      <c r="N1864" s="3" t="s">
        <v>24</v>
      </c>
      <c r="O1864" s="3" t="s">
        <v>25</v>
      </c>
    </row>
    <row r="1865" spans="1:15">
      <c r="A1865" s="3" t="s">
        <v>15</v>
      </c>
      <c r="B1865" s="3" t="str">
        <f>"FES1162741856"</f>
        <v>FES1162741856</v>
      </c>
      <c r="C1865" s="3" t="s">
        <v>1228</v>
      </c>
      <c r="D1865" s="3">
        <v>1</v>
      </c>
      <c r="E1865" s="3" t="str">
        <f>"2170733366"</f>
        <v>2170733366</v>
      </c>
      <c r="F1865" s="3" t="s">
        <v>17</v>
      </c>
      <c r="G1865" s="3" t="s">
        <v>18</v>
      </c>
      <c r="H1865" s="3" t="s">
        <v>100</v>
      </c>
      <c r="I1865" s="3" t="s">
        <v>101</v>
      </c>
      <c r="J1865" s="3" t="s">
        <v>265</v>
      </c>
      <c r="K1865" s="3" t="s">
        <v>1572</v>
      </c>
      <c r="L1865" s="4">
        <v>0.31944444444444448</v>
      </c>
      <c r="M1865" s="3" t="s">
        <v>266</v>
      </c>
      <c r="N1865" s="3" t="s">
        <v>24</v>
      </c>
      <c r="O1865" s="3" t="s">
        <v>25</v>
      </c>
    </row>
    <row r="1866" spans="1:15">
      <c r="A1866" s="3" t="s">
        <v>15</v>
      </c>
      <c r="B1866" s="3" t="str">
        <f>"FES1162741845"</f>
        <v>FES1162741845</v>
      </c>
      <c r="C1866" s="3" t="s">
        <v>1228</v>
      </c>
      <c r="D1866" s="3">
        <v>1</v>
      </c>
      <c r="E1866" s="3" t="str">
        <f>"2170733121"</f>
        <v>2170733121</v>
      </c>
      <c r="F1866" s="3" t="s">
        <v>17</v>
      </c>
      <c r="G1866" s="3" t="s">
        <v>18</v>
      </c>
      <c r="H1866" s="3" t="s">
        <v>19</v>
      </c>
      <c r="I1866" s="3" t="s">
        <v>20</v>
      </c>
      <c r="J1866" s="3" t="s">
        <v>56</v>
      </c>
      <c r="K1866" s="3" t="s">
        <v>1572</v>
      </c>
      <c r="L1866" s="4">
        <v>0.35416666666666669</v>
      </c>
      <c r="M1866" s="3" t="s">
        <v>259</v>
      </c>
      <c r="N1866" s="3" t="s">
        <v>24</v>
      </c>
      <c r="O1866" s="3" t="s">
        <v>25</v>
      </c>
    </row>
    <row r="1867" spans="1:15">
      <c r="A1867" s="3" t="s">
        <v>15</v>
      </c>
      <c r="B1867" s="3" t="str">
        <f>"FES1162741851"</f>
        <v>FES1162741851</v>
      </c>
      <c r="C1867" s="3" t="s">
        <v>1228</v>
      </c>
      <c r="D1867" s="3">
        <v>1</v>
      </c>
      <c r="E1867" s="3" t="str">
        <f>"2170733362"</f>
        <v>2170733362</v>
      </c>
      <c r="F1867" s="3" t="s">
        <v>17</v>
      </c>
      <c r="G1867" s="3" t="s">
        <v>18</v>
      </c>
      <c r="H1867" s="3" t="s">
        <v>19</v>
      </c>
      <c r="I1867" s="3" t="s">
        <v>51</v>
      </c>
      <c r="J1867" s="3" t="s">
        <v>89</v>
      </c>
      <c r="K1867" s="3" t="s">
        <v>1572</v>
      </c>
      <c r="L1867" s="4">
        <v>0.37361111111111112</v>
      </c>
      <c r="M1867" s="3" t="s">
        <v>419</v>
      </c>
      <c r="N1867" s="3" t="s">
        <v>24</v>
      </c>
      <c r="O1867" s="3" t="s">
        <v>25</v>
      </c>
    </row>
    <row r="1868" spans="1:15">
      <c r="A1868" s="3" t="s">
        <v>15</v>
      </c>
      <c r="B1868" s="3" t="str">
        <f>"FES1162741823"</f>
        <v>FES1162741823</v>
      </c>
      <c r="C1868" s="3" t="s">
        <v>1228</v>
      </c>
      <c r="D1868" s="3">
        <v>1</v>
      </c>
      <c r="E1868" s="3" t="str">
        <f>"2170733351"</f>
        <v>2170733351</v>
      </c>
      <c r="F1868" s="3" t="s">
        <v>214</v>
      </c>
      <c r="G1868" s="3" t="s">
        <v>18</v>
      </c>
      <c r="H1868" s="3" t="s">
        <v>70</v>
      </c>
      <c r="I1868" s="3" t="s">
        <v>708</v>
      </c>
      <c r="J1868" s="3" t="s">
        <v>709</v>
      </c>
      <c r="K1868" s="3" t="s">
        <v>1572</v>
      </c>
      <c r="L1868" s="4">
        <v>0.50486111111111109</v>
      </c>
      <c r="M1868" s="3" t="s">
        <v>1652</v>
      </c>
      <c r="N1868" s="3" t="s">
        <v>24</v>
      </c>
      <c r="O1868" s="3" t="s">
        <v>25</v>
      </c>
    </row>
    <row r="1869" spans="1:15">
      <c r="A1869" s="3" t="s">
        <v>15</v>
      </c>
      <c r="B1869" s="3" t="str">
        <f>"FES1162741732"</f>
        <v>FES1162741732</v>
      </c>
      <c r="C1869" s="3" t="s">
        <v>1228</v>
      </c>
      <c r="D1869" s="3">
        <v>1</v>
      </c>
      <c r="E1869" s="3" t="str">
        <f>"2170731439"</f>
        <v>2170731439</v>
      </c>
      <c r="F1869" s="3" t="s">
        <v>17</v>
      </c>
      <c r="G1869" s="3" t="s">
        <v>18</v>
      </c>
      <c r="H1869" s="3" t="s">
        <v>36</v>
      </c>
      <c r="I1869" s="3" t="s">
        <v>174</v>
      </c>
      <c r="J1869" s="3" t="s">
        <v>672</v>
      </c>
      <c r="K1869" s="3" t="s">
        <v>1572</v>
      </c>
      <c r="L1869" s="4">
        <v>0.34375</v>
      </c>
      <c r="M1869" s="3" t="s">
        <v>673</v>
      </c>
      <c r="N1869" s="3" t="s">
        <v>24</v>
      </c>
      <c r="O1869" s="3" t="s">
        <v>25</v>
      </c>
    </row>
    <row r="1870" spans="1:15">
      <c r="A1870" s="3" t="s">
        <v>15</v>
      </c>
      <c r="B1870" s="3" t="str">
        <f>"FES1162741844"</f>
        <v>FES1162741844</v>
      </c>
      <c r="C1870" s="3" t="s">
        <v>1228</v>
      </c>
      <c r="D1870" s="3">
        <v>1</v>
      </c>
      <c r="E1870" s="3" t="str">
        <f>"2170733359"</f>
        <v>2170733359</v>
      </c>
      <c r="F1870" s="3" t="s">
        <v>17</v>
      </c>
      <c r="G1870" s="3" t="s">
        <v>18</v>
      </c>
      <c r="H1870" s="3" t="s">
        <v>100</v>
      </c>
      <c r="I1870" s="3" t="s">
        <v>101</v>
      </c>
      <c r="J1870" s="3" t="s">
        <v>1577</v>
      </c>
      <c r="K1870" s="3" t="s">
        <v>1572</v>
      </c>
      <c r="L1870" s="4">
        <v>0.35902777777777778</v>
      </c>
      <c r="M1870" s="3" t="s">
        <v>1578</v>
      </c>
      <c r="N1870" s="3" t="s">
        <v>24</v>
      </c>
      <c r="O1870" s="3" t="s">
        <v>25</v>
      </c>
    </row>
    <row r="1871" spans="1:15">
      <c r="A1871" s="3" t="s">
        <v>15</v>
      </c>
      <c r="B1871" s="3" t="str">
        <f>"FES1162741728"</f>
        <v>FES1162741728</v>
      </c>
      <c r="C1871" s="3" t="s">
        <v>1228</v>
      </c>
      <c r="D1871" s="3">
        <v>1</v>
      </c>
      <c r="E1871" s="3" t="str">
        <f>"2170731412"</f>
        <v>2170731412</v>
      </c>
      <c r="F1871" s="3" t="s">
        <v>17</v>
      </c>
      <c r="G1871" s="3" t="s">
        <v>18</v>
      </c>
      <c r="H1871" s="3" t="s">
        <v>36</v>
      </c>
      <c r="I1871" s="3" t="s">
        <v>37</v>
      </c>
      <c r="J1871" s="3" t="s">
        <v>260</v>
      </c>
      <c r="K1871" s="3" t="s">
        <v>1572</v>
      </c>
      <c r="L1871" s="4">
        <v>0.40277777777777773</v>
      </c>
      <c r="M1871" s="3" t="s">
        <v>379</v>
      </c>
      <c r="N1871" s="3" t="s">
        <v>24</v>
      </c>
      <c r="O1871" s="3" t="s">
        <v>25</v>
      </c>
    </row>
    <row r="1872" spans="1:15">
      <c r="A1872" s="3" t="s">
        <v>15</v>
      </c>
      <c r="B1872" s="3" t="str">
        <f>"FES1162741839"</f>
        <v>FES1162741839</v>
      </c>
      <c r="C1872" s="3" t="s">
        <v>1228</v>
      </c>
      <c r="D1872" s="3">
        <v>1</v>
      </c>
      <c r="E1872" s="3" t="str">
        <f>"2170733122"</f>
        <v>2170733122</v>
      </c>
      <c r="F1872" s="3" t="s">
        <v>17</v>
      </c>
      <c r="G1872" s="3" t="s">
        <v>18</v>
      </c>
      <c r="H1872" s="3" t="s">
        <v>66</v>
      </c>
      <c r="I1872" s="3" t="s">
        <v>67</v>
      </c>
      <c r="J1872" s="3" t="s">
        <v>975</v>
      </c>
      <c r="K1872" s="3" t="s">
        <v>1572</v>
      </c>
      <c r="L1872" s="4">
        <v>0.39652777777777781</v>
      </c>
      <c r="M1872" s="3" t="s">
        <v>907</v>
      </c>
      <c r="N1872" s="3" t="s">
        <v>24</v>
      </c>
      <c r="O1872" s="3" t="s">
        <v>25</v>
      </c>
    </row>
    <row r="1873" spans="1:15">
      <c r="A1873" s="3" t="s">
        <v>15</v>
      </c>
      <c r="B1873" s="3" t="str">
        <f>"FES1162741721"</f>
        <v>FES1162741721</v>
      </c>
      <c r="C1873" s="3" t="s">
        <v>1228</v>
      </c>
      <c r="D1873" s="3">
        <v>1</v>
      </c>
      <c r="E1873" s="3" t="str">
        <f>"2170731087"</f>
        <v>2170731087</v>
      </c>
      <c r="F1873" s="3" t="s">
        <v>17</v>
      </c>
      <c r="G1873" s="3" t="s">
        <v>18</v>
      </c>
      <c r="H1873" s="3" t="s">
        <v>36</v>
      </c>
      <c r="I1873" s="3" t="s">
        <v>37</v>
      </c>
      <c r="J1873" s="3" t="s">
        <v>1653</v>
      </c>
      <c r="K1873" s="3" t="s">
        <v>1572</v>
      </c>
      <c r="L1873" s="4">
        <v>0.4201388888888889</v>
      </c>
      <c r="M1873" s="3" t="s">
        <v>179</v>
      </c>
      <c r="N1873" s="3" t="s">
        <v>24</v>
      </c>
      <c r="O1873" s="3" t="s">
        <v>25</v>
      </c>
    </row>
    <row r="1874" spans="1:15">
      <c r="A1874" s="3" t="s">
        <v>15</v>
      </c>
      <c r="B1874" s="3" t="str">
        <f>"FES1162741711"</f>
        <v>FES1162741711</v>
      </c>
      <c r="C1874" s="3" t="s">
        <v>1228</v>
      </c>
      <c r="D1874" s="3">
        <v>1</v>
      </c>
      <c r="E1874" s="3" t="str">
        <f>"2170731093"</f>
        <v>2170731093</v>
      </c>
      <c r="F1874" s="3" t="s">
        <v>17</v>
      </c>
      <c r="G1874" s="3" t="s">
        <v>18</v>
      </c>
      <c r="H1874" s="3" t="s">
        <v>36</v>
      </c>
      <c r="I1874" s="3" t="s">
        <v>37</v>
      </c>
      <c r="J1874" s="3" t="s">
        <v>115</v>
      </c>
      <c r="K1874" s="3" t="s">
        <v>1572</v>
      </c>
      <c r="L1874" s="4">
        <v>0.43055555555555558</v>
      </c>
      <c r="M1874" s="3" t="s">
        <v>1654</v>
      </c>
      <c r="N1874" s="3" t="s">
        <v>24</v>
      </c>
      <c r="O1874" s="3" t="s">
        <v>25</v>
      </c>
    </row>
    <row r="1875" spans="1:15">
      <c r="A1875" s="3" t="s">
        <v>15</v>
      </c>
      <c r="B1875" s="3" t="str">
        <f>"FES1162741712"</f>
        <v>FES1162741712</v>
      </c>
      <c r="C1875" s="3" t="s">
        <v>1228</v>
      </c>
      <c r="D1875" s="3">
        <v>1</v>
      </c>
      <c r="E1875" s="3" t="str">
        <f>"2170731196"</f>
        <v>2170731196</v>
      </c>
      <c r="F1875" s="3" t="s">
        <v>17</v>
      </c>
      <c r="G1875" s="3" t="s">
        <v>18</v>
      </c>
      <c r="H1875" s="3" t="s">
        <v>36</v>
      </c>
      <c r="I1875" s="3" t="s">
        <v>37</v>
      </c>
      <c r="J1875" s="3" t="s">
        <v>260</v>
      </c>
      <c r="K1875" s="3" t="s">
        <v>1572</v>
      </c>
      <c r="L1875" s="4">
        <v>0.40833333333333338</v>
      </c>
      <c r="M1875" s="3" t="s">
        <v>379</v>
      </c>
      <c r="N1875" s="3" t="s">
        <v>24</v>
      </c>
      <c r="O1875" s="3" t="s">
        <v>25</v>
      </c>
    </row>
    <row r="1876" spans="1:15">
      <c r="A1876" s="3" t="s">
        <v>15</v>
      </c>
      <c r="B1876" s="3" t="str">
        <f>"FES1162741853"</f>
        <v>FES1162741853</v>
      </c>
      <c r="C1876" s="3" t="s">
        <v>1228</v>
      </c>
      <c r="D1876" s="3">
        <v>1</v>
      </c>
      <c r="E1876" s="3" t="str">
        <f>"2170733065"</f>
        <v>2170733065</v>
      </c>
      <c r="F1876" s="3" t="s">
        <v>17</v>
      </c>
      <c r="G1876" s="3" t="s">
        <v>18</v>
      </c>
      <c r="H1876" s="3" t="s">
        <v>100</v>
      </c>
      <c r="I1876" s="3" t="s">
        <v>117</v>
      </c>
      <c r="J1876" s="3" t="s">
        <v>335</v>
      </c>
      <c r="K1876" s="3" t="s">
        <v>1572</v>
      </c>
      <c r="L1876" s="4">
        <v>0.41666666666666669</v>
      </c>
      <c r="M1876" s="3" t="s">
        <v>1387</v>
      </c>
      <c r="N1876" s="3" t="s">
        <v>24</v>
      </c>
      <c r="O1876" s="3" t="s">
        <v>25</v>
      </c>
    </row>
    <row r="1877" spans="1:15">
      <c r="A1877" s="3" t="s">
        <v>15</v>
      </c>
      <c r="B1877" s="3" t="str">
        <f>"FES1162741840"</f>
        <v>FES1162741840</v>
      </c>
      <c r="C1877" s="3" t="s">
        <v>1228</v>
      </c>
      <c r="D1877" s="3">
        <v>1</v>
      </c>
      <c r="E1877" s="3" t="str">
        <f>"2170733126"</f>
        <v>2170733126</v>
      </c>
      <c r="F1877" s="3" t="s">
        <v>17</v>
      </c>
      <c r="G1877" s="3" t="s">
        <v>18</v>
      </c>
      <c r="H1877" s="3" t="s">
        <v>66</v>
      </c>
      <c r="I1877" s="3" t="s">
        <v>67</v>
      </c>
      <c r="J1877" s="3" t="s">
        <v>975</v>
      </c>
      <c r="K1877" s="3" t="s">
        <v>1572</v>
      </c>
      <c r="L1877" s="4">
        <v>0.39652777777777781</v>
      </c>
      <c r="M1877" s="3" t="s">
        <v>907</v>
      </c>
      <c r="N1877" s="3" t="s">
        <v>24</v>
      </c>
      <c r="O1877" s="3" t="s">
        <v>25</v>
      </c>
    </row>
    <row r="1878" spans="1:15">
      <c r="A1878" s="3" t="s">
        <v>15</v>
      </c>
      <c r="B1878" s="3" t="str">
        <f>"FES1162741836"</f>
        <v>FES1162741836</v>
      </c>
      <c r="C1878" s="3" t="s">
        <v>1228</v>
      </c>
      <c r="D1878" s="3">
        <v>1</v>
      </c>
      <c r="E1878" s="3" t="str">
        <f>"2170733015"</f>
        <v>2170733015</v>
      </c>
      <c r="F1878" s="3" t="s">
        <v>17</v>
      </c>
      <c r="G1878" s="3" t="s">
        <v>18</v>
      </c>
      <c r="H1878" s="3" t="s">
        <v>66</v>
      </c>
      <c r="I1878" s="3" t="s">
        <v>67</v>
      </c>
      <c r="J1878" s="3" t="s">
        <v>485</v>
      </c>
      <c r="K1878" s="3" t="s">
        <v>1572</v>
      </c>
      <c r="L1878" s="4">
        <v>0.375</v>
      </c>
      <c r="M1878" s="3" t="s">
        <v>486</v>
      </c>
      <c r="N1878" s="3" t="s">
        <v>24</v>
      </c>
      <c r="O1878" s="3" t="s">
        <v>25</v>
      </c>
    </row>
    <row r="1879" spans="1:15">
      <c r="A1879" s="3" t="s">
        <v>15</v>
      </c>
      <c r="B1879" s="3" t="str">
        <f>"FES1162741688"</f>
        <v>FES1162741688</v>
      </c>
      <c r="C1879" s="3" t="s">
        <v>1228</v>
      </c>
      <c r="D1879" s="3">
        <v>0</v>
      </c>
      <c r="E1879" s="3" t="str">
        <f>"2170733233"</f>
        <v>2170733233</v>
      </c>
      <c r="F1879" s="3" t="s">
        <v>17</v>
      </c>
      <c r="G1879" s="3" t="s">
        <v>18</v>
      </c>
      <c r="H1879" s="3" t="s">
        <v>18</v>
      </c>
      <c r="I1879" s="3" t="s">
        <v>29</v>
      </c>
      <c r="J1879" s="3" t="s">
        <v>543</v>
      </c>
      <c r="K1879" s="3" t="s">
        <v>1572</v>
      </c>
      <c r="L1879" s="4">
        <v>0.33680555555555558</v>
      </c>
      <c r="M1879" s="3" t="s">
        <v>1655</v>
      </c>
      <c r="N1879" s="3" t="s">
        <v>24</v>
      </c>
      <c r="O1879" s="3" t="s">
        <v>25</v>
      </c>
    </row>
    <row r="1880" spans="1:15">
      <c r="A1880" s="3" t="s">
        <v>15</v>
      </c>
      <c r="B1880" s="3" t="str">
        <f>"FES1162741660"</f>
        <v>FES1162741660</v>
      </c>
      <c r="C1880" s="3" t="s">
        <v>1228</v>
      </c>
      <c r="D1880" s="3">
        <v>0</v>
      </c>
      <c r="E1880" s="3" t="str">
        <f>"2170730654"</f>
        <v>2170730654</v>
      </c>
      <c r="F1880" s="3" t="s">
        <v>17</v>
      </c>
      <c r="G1880" s="3" t="s">
        <v>18</v>
      </c>
      <c r="H1880" s="3" t="s">
        <v>66</v>
      </c>
      <c r="I1880" s="3" t="s">
        <v>67</v>
      </c>
      <c r="J1880" s="3" t="s">
        <v>278</v>
      </c>
      <c r="K1880" s="3" t="s">
        <v>1572</v>
      </c>
      <c r="L1880" s="4">
        <v>0.36458333333333331</v>
      </c>
      <c r="M1880" s="3" t="s">
        <v>786</v>
      </c>
      <c r="N1880" s="3" t="s">
        <v>24</v>
      </c>
      <c r="O1880" s="3" t="s">
        <v>25</v>
      </c>
    </row>
    <row r="1881" spans="1:15">
      <c r="A1881" s="3" t="s">
        <v>15</v>
      </c>
      <c r="B1881" s="3" t="str">
        <f>"FES1162741834"</f>
        <v>FES1162741834</v>
      </c>
      <c r="C1881" s="3" t="s">
        <v>1228</v>
      </c>
      <c r="D1881" s="3">
        <v>1</v>
      </c>
      <c r="E1881" s="3" t="str">
        <f>"2170733354"</f>
        <v>2170733354</v>
      </c>
      <c r="F1881" s="3" t="s">
        <v>17</v>
      </c>
      <c r="G1881" s="3" t="s">
        <v>18</v>
      </c>
      <c r="H1881" s="3" t="s">
        <v>66</v>
      </c>
      <c r="I1881" s="3" t="s">
        <v>67</v>
      </c>
      <c r="J1881" s="3" t="s">
        <v>1540</v>
      </c>
      <c r="K1881" s="3" t="s">
        <v>1572</v>
      </c>
      <c r="L1881" s="4">
        <v>0.39583333333333331</v>
      </c>
      <c r="M1881" s="3" t="s">
        <v>1656</v>
      </c>
      <c r="N1881" s="3" t="s">
        <v>24</v>
      </c>
      <c r="O1881" s="3" t="s">
        <v>25</v>
      </c>
    </row>
    <row r="1882" spans="1:15">
      <c r="A1882" s="3" t="s">
        <v>15</v>
      </c>
      <c r="B1882" s="3" t="str">
        <f>"FES1162741850"</f>
        <v>FES1162741850</v>
      </c>
      <c r="C1882" s="3" t="s">
        <v>1228</v>
      </c>
      <c r="D1882" s="3">
        <v>1</v>
      </c>
      <c r="E1882" s="3" t="str">
        <f>"2170733361"</f>
        <v>2170733361</v>
      </c>
      <c r="F1882" s="3" t="s">
        <v>17</v>
      </c>
      <c r="G1882" s="3" t="s">
        <v>18</v>
      </c>
      <c r="H1882" s="3" t="s">
        <v>19</v>
      </c>
      <c r="I1882" s="3" t="s">
        <v>20</v>
      </c>
      <c r="J1882" s="3" t="s">
        <v>56</v>
      </c>
      <c r="K1882" s="3" t="s">
        <v>1572</v>
      </c>
      <c r="L1882" s="4">
        <v>0.35416666666666669</v>
      </c>
      <c r="M1882" s="3" t="s">
        <v>259</v>
      </c>
      <c r="N1882" s="3" t="s">
        <v>24</v>
      </c>
      <c r="O1882" s="3" t="s">
        <v>25</v>
      </c>
    </row>
    <row r="1883" spans="1:15">
      <c r="A1883" s="3" t="s">
        <v>15</v>
      </c>
      <c r="B1883" s="3" t="str">
        <f>"FES1162741855"</f>
        <v>FES1162741855</v>
      </c>
      <c r="C1883" s="3" t="s">
        <v>1228</v>
      </c>
      <c r="D1883" s="3">
        <v>1</v>
      </c>
      <c r="E1883" s="3" t="str">
        <f>"2170733365"</f>
        <v>2170733365</v>
      </c>
      <c r="F1883" s="3" t="s">
        <v>17</v>
      </c>
      <c r="G1883" s="3" t="s">
        <v>18</v>
      </c>
      <c r="H1883" s="3" t="s">
        <v>19</v>
      </c>
      <c r="I1883" s="3" t="s">
        <v>236</v>
      </c>
      <c r="J1883" s="3" t="s">
        <v>257</v>
      </c>
      <c r="K1883" s="3" t="s">
        <v>1572</v>
      </c>
      <c r="L1883" s="4">
        <v>0.34513888888888888</v>
      </c>
      <c r="M1883" s="3" t="s">
        <v>819</v>
      </c>
      <c r="N1883" s="3" t="s">
        <v>24</v>
      </c>
      <c r="O1883" s="3" t="s">
        <v>25</v>
      </c>
    </row>
    <row r="1884" spans="1:15">
      <c r="A1884" s="3" t="s">
        <v>15</v>
      </c>
      <c r="B1884" s="3" t="str">
        <f>"009939664830"</f>
        <v>009939664830</v>
      </c>
      <c r="C1884" s="3" t="s">
        <v>1228</v>
      </c>
      <c r="D1884" s="3">
        <v>1</v>
      </c>
      <c r="E1884" s="3" t="str">
        <f>"084 443 0197"</f>
        <v>084 443 0197</v>
      </c>
      <c r="F1884" s="3" t="s">
        <v>1657</v>
      </c>
      <c r="G1884" s="3" t="s">
        <v>19</v>
      </c>
      <c r="H1884" s="3" t="s">
        <v>36</v>
      </c>
      <c r="I1884" s="3" t="s">
        <v>37</v>
      </c>
      <c r="J1884" s="3" t="s">
        <v>1658</v>
      </c>
      <c r="K1884" s="3" t="s">
        <v>1572</v>
      </c>
      <c r="L1884" s="4">
        <v>0.37152777777777773</v>
      </c>
      <c r="M1884" s="3" t="s">
        <v>1659</v>
      </c>
      <c r="N1884" s="3" t="s">
        <v>24</v>
      </c>
      <c r="O1884" s="3" t="s">
        <v>25</v>
      </c>
    </row>
    <row r="1885" spans="1:15">
      <c r="A1885" s="3" t="s">
        <v>15</v>
      </c>
      <c r="B1885" s="3" t="str">
        <f>"FES1162741908"</f>
        <v>FES1162741908</v>
      </c>
      <c r="C1885" s="3" t="s">
        <v>1572</v>
      </c>
      <c r="D1885" s="3">
        <v>1</v>
      </c>
      <c r="E1885" s="3" t="str">
        <f>"2170733132"</f>
        <v>2170733132</v>
      </c>
      <c r="F1885" s="3" t="s">
        <v>17</v>
      </c>
      <c r="G1885" s="3" t="s">
        <v>18</v>
      </c>
      <c r="H1885" s="3" t="s">
        <v>100</v>
      </c>
      <c r="I1885" s="3" t="s">
        <v>101</v>
      </c>
      <c r="J1885" s="3" t="s">
        <v>142</v>
      </c>
      <c r="K1885" s="3" t="s">
        <v>1660</v>
      </c>
      <c r="L1885" s="4">
        <v>0.33055555555555555</v>
      </c>
      <c r="M1885" s="3" t="s">
        <v>1169</v>
      </c>
      <c r="N1885" s="3" t="s">
        <v>24</v>
      </c>
      <c r="O1885" s="3" t="s">
        <v>25</v>
      </c>
    </row>
    <row r="1886" spans="1:15">
      <c r="A1886" s="3" t="s">
        <v>15</v>
      </c>
      <c r="B1886" s="3" t="str">
        <f>"FES1162741714"</f>
        <v>FES1162741714</v>
      </c>
      <c r="C1886" s="3" t="s">
        <v>1572</v>
      </c>
      <c r="D1886" s="3">
        <v>1</v>
      </c>
      <c r="E1886" s="3" t="str">
        <f>"2170733097"</f>
        <v>2170733097</v>
      </c>
      <c r="F1886" s="3" t="s">
        <v>17</v>
      </c>
      <c r="G1886" s="3" t="s">
        <v>18</v>
      </c>
      <c r="H1886" s="3" t="s">
        <v>36</v>
      </c>
      <c r="I1886" s="3" t="s">
        <v>37</v>
      </c>
      <c r="J1886" s="3" t="s">
        <v>593</v>
      </c>
      <c r="K1886" s="3" t="s">
        <v>1660</v>
      </c>
      <c r="L1886" s="4">
        <v>0.37986111111111115</v>
      </c>
      <c r="M1886" s="3" t="s">
        <v>938</v>
      </c>
      <c r="N1886" s="3" t="s">
        <v>24</v>
      </c>
      <c r="O1886" s="3" t="s">
        <v>25</v>
      </c>
    </row>
    <row r="1887" spans="1:15">
      <c r="A1887" s="3" t="s">
        <v>15</v>
      </c>
      <c r="B1887" s="3" t="str">
        <f>"FES1162741773"</f>
        <v>FES1162741773</v>
      </c>
      <c r="C1887" s="3" t="s">
        <v>1572</v>
      </c>
      <c r="D1887" s="3">
        <v>1</v>
      </c>
      <c r="E1887" s="3" t="str">
        <f>"2170733280"</f>
        <v>2170733280</v>
      </c>
      <c r="F1887" s="3" t="s">
        <v>17</v>
      </c>
      <c r="G1887" s="3" t="s">
        <v>18</v>
      </c>
      <c r="H1887" s="3" t="s">
        <v>18</v>
      </c>
      <c r="I1887" s="3" t="s">
        <v>309</v>
      </c>
      <c r="J1887" s="3" t="s">
        <v>1661</v>
      </c>
      <c r="K1887" s="3" t="s">
        <v>1660</v>
      </c>
      <c r="L1887" s="4">
        <v>0.38263888888888892</v>
      </c>
      <c r="M1887" s="3" t="s">
        <v>1662</v>
      </c>
      <c r="N1887" s="3" t="s">
        <v>24</v>
      </c>
      <c r="O1887" s="3" t="s">
        <v>25</v>
      </c>
    </row>
    <row r="1888" spans="1:15">
      <c r="A1888" s="3" t="s">
        <v>15</v>
      </c>
      <c r="B1888" s="3" t="str">
        <f>"FES1162741854"</f>
        <v>FES1162741854</v>
      </c>
      <c r="C1888" s="3" t="s">
        <v>1572</v>
      </c>
      <c r="D1888" s="3">
        <v>1</v>
      </c>
      <c r="E1888" s="3" t="str">
        <f>"2170733343"</f>
        <v>2170733343</v>
      </c>
      <c r="F1888" s="3" t="s">
        <v>17</v>
      </c>
      <c r="G1888" s="3" t="s">
        <v>18</v>
      </c>
      <c r="H1888" s="3" t="s">
        <v>18</v>
      </c>
      <c r="I1888" s="3" t="s">
        <v>33</v>
      </c>
      <c r="J1888" s="3" t="s">
        <v>93</v>
      </c>
      <c r="K1888" s="3" t="s">
        <v>1660</v>
      </c>
      <c r="L1888" s="4">
        <v>0.4375</v>
      </c>
      <c r="M1888" s="3" t="s">
        <v>1663</v>
      </c>
      <c r="N1888" s="3" t="s">
        <v>24</v>
      </c>
      <c r="O1888" s="3" t="s">
        <v>25</v>
      </c>
    </row>
    <row r="1889" spans="1:15">
      <c r="A1889" s="3" t="s">
        <v>15</v>
      </c>
      <c r="B1889" s="3" t="str">
        <f>"FES1162741889"</f>
        <v>FES1162741889</v>
      </c>
      <c r="C1889" s="3" t="s">
        <v>1572</v>
      </c>
      <c r="D1889" s="3">
        <v>1</v>
      </c>
      <c r="E1889" s="3" t="str">
        <f>"2170731530"</f>
        <v>2170731530</v>
      </c>
      <c r="F1889" s="3" t="s">
        <v>17</v>
      </c>
      <c r="G1889" s="3" t="s">
        <v>18</v>
      </c>
      <c r="H1889" s="3" t="s">
        <v>18</v>
      </c>
      <c r="I1889" s="3" t="s">
        <v>171</v>
      </c>
      <c r="J1889" s="3" t="s">
        <v>642</v>
      </c>
      <c r="K1889" s="3" t="s">
        <v>1660</v>
      </c>
      <c r="L1889" s="4">
        <v>0.31111111111111112</v>
      </c>
      <c r="M1889" s="3" t="s">
        <v>643</v>
      </c>
      <c r="N1889" s="3" t="s">
        <v>24</v>
      </c>
      <c r="O1889" s="3" t="s">
        <v>25</v>
      </c>
    </row>
    <row r="1890" spans="1:15">
      <c r="A1890" s="3" t="s">
        <v>15</v>
      </c>
      <c r="B1890" s="3" t="str">
        <f>"FES1162741943"</f>
        <v>FES1162741943</v>
      </c>
      <c r="C1890" s="3" t="s">
        <v>1572</v>
      </c>
      <c r="D1890" s="3">
        <v>1</v>
      </c>
      <c r="E1890" s="3" t="str">
        <f>"2170733416"</f>
        <v>2170733416</v>
      </c>
      <c r="F1890" s="3" t="s">
        <v>17</v>
      </c>
      <c r="G1890" s="3" t="s">
        <v>18</v>
      </c>
      <c r="H1890" s="3" t="s">
        <v>18</v>
      </c>
      <c r="I1890" s="3" t="s">
        <v>171</v>
      </c>
      <c r="J1890" s="3" t="s">
        <v>1599</v>
      </c>
      <c r="K1890" s="3" t="s">
        <v>1660</v>
      </c>
      <c r="L1890" s="4">
        <v>0.35416666666666669</v>
      </c>
      <c r="M1890" s="3" t="s">
        <v>1664</v>
      </c>
      <c r="N1890" s="3" t="s">
        <v>24</v>
      </c>
      <c r="O1890" s="3" t="s">
        <v>25</v>
      </c>
    </row>
    <row r="1891" spans="1:15">
      <c r="A1891" s="3" t="s">
        <v>15</v>
      </c>
      <c r="B1891" s="3" t="str">
        <f>"RFES1162740602"</f>
        <v>RFES1162740602</v>
      </c>
      <c r="C1891" s="3" t="s">
        <v>1572</v>
      </c>
      <c r="D1891" s="3">
        <v>1</v>
      </c>
      <c r="E1891" s="3" t="str">
        <f>"217073223"</f>
        <v>217073223</v>
      </c>
      <c r="F1891" s="3" t="s">
        <v>17</v>
      </c>
      <c r="G1891" s="3" t="s">
        <v>100</v>
      </c>
      <c r="H1891" s="3" t="s">
        <v>18</v>
      </c>
      <c r="I1891" s="3" t="s">
        <v>29</v>
      </c>
      <c r="J1891" s="3" t="s">
        <v>30</v>
      </c>
      <c r="K1891" s="3" t="s">
        <v>1660</v>
      </c>
      <c r="L1891" s="4">
        <v>0.34375</v>
      </c>
      <c r="M1891" s="3" t="s">
        <v>777</v>
      </c>
      <c r="N1891" s="3" t="s">
        <v>24</v>
      </c>
      <c r="O1891" s="3" t="s">
        <v>25</v>
      </c>
    </row>
    <row r="1892" spans="1:15">
      <c r="A1892" s="3" t="s">
        <v>15</v>
      </c>
      <c r="B1892" s="3" t="str">
        <f>"009939849573"</f>
        <v>009939849573</v>
      </c>
      <c r="C1892" s="3" t="s">
        <v>1572</v>
      </c>
      <c r="D1892" s="3">
        <v>1</v>
      </c>
      <c r="E1892" s="3" t="str">
        <f>""</f>
        <v/>
      </c>
      <c r="F1892" s="3" t="s">
        <v>214</v>
      </c>
      <c r="G1892" s="3"/>
      <c r="H1892" s="3"/>
      <c r="I1892" s="3" t="s">
        <v>1665</v>
      </c>
      <c r="J1892" s="3" t="s">
        <v>448</v>
      </c>
      <c r="K1892" s="3" t="s">
        <v>1660</v>
      </c>
      <c r="L1892" s="4">
        <v>0.34375</v>
      </c>
      <c r="M1892" s="3" t="s">
        <v>777</v>
      </c>
      <c r="N1892" s="3" t="s">
        <v>24</v>
      </c>
      <c r="O1892" s="3" t="s">
        <v>25</v>
      </c>
    </row>
    <row r="1893" spans="1:15">
      <c r="A1893" s="3" t="s">
        <v>15</v>
      </c>
      <c r="B1893" s="3" t="str">
        <f>"FES1162741646"</f>
        <v>FES1162741646</v>
      </c>
      <c r="C1893" s="3" t="s">
        <v>1572</v>
      </c>
      <c r="D1893" s="3">
        <v>1</v>
      </c>
      <c r="E1893" s="3" t="str">
        <f>"2170733180"</f>
        <v>2170733180</v>
      </c>
      <c r="F1893" s="3" t="s">
        <v>17</v>
      </c>
      <c r="G1893" s="3" t="s">
        <v>18</v>
      </c>
      <c r="H1893" s="3" t="s">
        <v>36</v>
      </c>
      <c r="I1893" s="3" t="s">
        <v>1440</v>
      </c>
      <c r="J1893" s="3" t="s">
        <v>1441</v>
      </c>
      <c r="K1893" s="3" t="s">
        <v>1666</v>
      </c>
      <c r="L1893" s="3" t="s">
        <v>1667</v>
      </c>
      <c r="M1893" s="3" t="s">
        <v>1668</v>
      </c>
      <c r="N1893" s="3" t="s">
        <v>24</v>
      </c>
      <c r="O1893" s="3" t="s">
        <v>25</v>
      </c>
    </row>
    <row r="1894" spans="1:15">
      <c r="A1894" s="3" t="s">
        <v>15</v>
      </c>
      <c r="B1894" s="3" t="str">
        <f>"009935712351"</f>
        <v>009935712351</v>
      </c>
      <c r="C1894" s="3" t="s">
        <v>1572</v>
      </c>
      <c r="D1894" s="3">
        <v>1</v>
      </c>
      <c r="E1894" s="3" t="str">
        <f>"1162741560"</f>
        <v>1162741560</v>
      </c>
      <c r="F1894" s="3" t="s">
        <v>17</v>
      </c>
      <c r="G1894" s="3" t="s">
        <v>18</v>
      </c>
      <c r="H1894" s="3" t="s">
        <v>70</v>
      </c>
      <c r="I1894" s="3" t="s">
        <v>71</v>
      </c>
      <c r="J1894" s="3" t="s">
        <v>422</v>
      </c>
      <c r="K1894" s="3" t="s">
        <v>1660</v>
      </c>
      <c r="L1894" s="4">
        <v>0.37152777777777773</v>
      </c>
      <c r="M1894" s="3" t="s">
        <v>1545</v>
      </c>
      <c r="N1894" s="3" t="s">
        <v>24</v>
      </c>
      <c r="O1894" s="3" t="s">
        <v>464</v>
      </c>
    </row>
    <row r="1895" spans="1:15">
      <c r="A1895" s="3" t="s">
        <v>15</v>
      </c>
      <c r="B1895" s="3" t="str">
        <f>"FES1162741830"</f>
        <v>FES1162741830</v>
      </c>
      <c r="C1895" s="3" t="s">
        <v>1572</v>
      </c>
      <c r="D1895" s="3">
        <v>1</v>
      </c>
      <c r="E1895" s="3" t="str">
        <f>"217073349"</f>
        <v>217073349</v>
      </c>
      <c r="F1895" s="3" t="s">
        <v>17</v>
      </c>
      <c r="G1895" s="3" t="s">
        <v>18</v>
      </c>
      <c r="H1895" s="3" t="s">
        <v>18</v>
      </c>
      <c r="I1895" s="3" t="s">
        <v>33</v>
      </c>
      <c r="J1895" s="3" t="s">
        <v>872</v>
      </c>
      <c r="K1895" s="3" t="s">
        <v>1660</v>
      </c>
      <c r="L1895" s="4">
        <v>0.33333333333333331</v>
      </c>
      <c r="M1895" s="3" t="s">
        <v>873</v>
      </c>
      <c r="N1895" s="3" t="s">
        <v>24</v>
      </c>
      <c r="O1895" s="3" t="s">
        <v>25</v>
      </c>
    </row>
    <row r="1896" spans="1:15">
      <c r="A1896" s="3" t="s">
        <v>15</v>
      </c>
      <c r="B1896" s="3" t="str">
        <f>"FES1162741792"</f>
        <v>FES1162741792</v>
      </c>
      <c r="C1896" s="3" t="s">
        <v>1572</v>
      </c>
      <c r="D1896" s="3">
        <v>1</v>
      </c>
      <c r="E1896" s="3" t="str">
        <f>"21707333025"</f>
        <v>21707333025</v>
      </c>
      <c r="F1896" s="3" t="s">
        <v>17</v>
      </c>
      <c r="G1896" s="3" t="s">
        <v>18</v>
      </c>
      <c r="H1896" s="3" t="s">
        <v>18</v>
      </c>
      <c r="I1896" s="3" t="s">
        <v>313</v>
      </c>
      <c r="J1896" s="3" t="s">
        <v>314</v>
      </c>
      <c r="K1896" s="3" t="s">
        <v>1660</v>
      </c>
      <c r="L1896" s="4">
        <v>0.38611111111111113</v>
      </c>
      <c r="M1896" s="3" t="s">
        <v>315</v>
      </c>
      <c r="N1896" s="3" t="s">
        <v>24</v>
      </c>
      <c r="O1896" s="3" t="s">
        <v>25</v>
      </c>
    </row>
    <row r="1897" spans="1:15">
      <c r="A1897" s="3" t="s">
        <v>15</v>
      </c>
      <c r="B1897" s="3" t="str">
        <f>"FES1162741827"</f>
        <v>FES1162741827</v>
      </c>
      <c r="C1897" s="3" t="s">
        <v>1572</v>
      </c>
      <c r="D1897" s="3">
        <v>1</v>
      </c>
      <c r="E1897" s="3" t="str">
        <f>"2170733055"</f>
        <v>2170733055</v>
      </c>
      <c r="F1897" s="3" t="s">
        <v>17</v>
      </c>
      <c r="G1897" s="3" t="s">
        <v>18</v>
      </c>
      <c r="H1897" s="3" t="s">
        <v>18</v>
      </c>
      <c r="I1897" s="3" t="s">
        <v>291</v>
      </c>
      <c r="J1897" s="3" t="s">
        <v>1514</v>
      </c>
      <c r="K1897" s="3" t="s">
        <v>1660</v>
      </c>
      <c r="L1897" s="4">
        <v>0.3659722222222222</v>
      </c>
      <c r="M1897" s="3" t="s">
        <v>626</v>
      </c>
      <c r="N1897" s="3" t="s">
        <v>24</v>
      </c>
      <c r="O1897" s="3" t="s">
        <v>25</v>
      </c>
    </row>
    <row r="1898" spans="1:15">
      <c r="A1898" s="3" t="s">
        <v>15</v>
      </c>
      <c r="B1898" s="3" t="str">
        <f>"FES1162741913"</f>
        <v>FES1162741913</v>
      </c>
      <c r="C1898" s="3" t="s">
        <v>1572</v>
      </c>
      <c r="D1898" s="3">
        <v>1</v>
      </c>
      <c r="E1898" s="3" t="str">
        <f>"21707333375"</f>
        <v>21707333375</v>
      </c>
      <c r="F1898" s="3" t="s">
        <v>17</v>
      </c>
      <c r="G1898" s="3" t="s">
        <v>18</v>
      </c>
      <c r="H1898" s="3" t="s">
        <v>100</v>
      </c>
      <c r="I1898" s="3" t="s">
        <v>101</v>
      </c>
      <c r="J1898" s="3" t="s">
        <v>1097</v>
      </c>
      <c r="K1898" s="3" t="s">
        <v>1660</v>
      </c>
      <c r="L1898" s="4">
        <v>0.32013888888888892</v>
      </c>
      <c r="M1898" s="3" t="s">
        <v>1669</v>
      </c>
      <c r="N1898" s="3" t="s">
        <v>24</v>
      </c>
      <c r="O1898" s="3" t="s">
        <v>25</v>
      </c>
    </row>
    <row r="1899" spans="1:15">
      <c r="A1899" s="3" t="s">
        <v>15</v>
      </c>
      <c r="B1899" s="3" t="str">
        <f>"FES1162741865"</f>
        <v>FES1162741865</v>
      </c>
      <c r="C1899" s="3" t="s">
        <v>1572</v>
      </c>
      <c r="D1899" s="3">
        <v>1</v>
      </c>
      <c r="E1899" s="3" t="str">
        <f>"21707031170"</f>
        <v>21707031170</v>
      </c>
      <c r="F1899" s="3" t="s">
        <v>17</v>
      </c>
      <c r="G1899" s="3" t="s">
        <v>18</v>
      </c>
      <c r="H1899" s="3" t="s">
        <v>100</v>
      </c>
      <c r="I1899" s="3" t="s">
        <v>101</v>
      </c>
      <c r="J1899" s="3" t="s">
        <v>265</v>
      </c>
      <c r="K1899" s="3" t="s">
        <v>1660</v>
      </c>
      <c r="L1899" s="4">
        <v>0.32083333333333336</v>
      </c>
      <c r="M1899" s="3" t="s">
        <v>1670</v>
      </c>
      <c r="N1899" s="3" t="s">
        <v>24</v>
      </c>
      <c r="O1899" s="3" t="s">
        <v>25</v>
      </c>
    </row>
    <row r="1900" spans="1:15">
      <c r="A1900" s="3" t="s">
        <v>15</v>
      </c>
      <c r="B1900" s="3" t="str">
        <f>"FES1162741903"</f>
        <v>FES1162741903</v>
      </c>
      <c r="C1900" s="3" t="s">
        <v>1572</v>
      </c>
      <c r="D1900" s="3">
        <v>1</v>
      </c>
      <c r="E1900" s="3" t="str">
        <f>"217073287"</f>
        <v>217073287</v>
      </c>
      <c r="F1900" s="3" t="s">
        <v>17</v>
      </c>
      <c r="G1900" s="3" t="s">
        <v>18</v>
      </c>
      <c r="H1900" s="3" t="s">
        <v>100</v>
      </c>
      <c r="I1900" s="3" t="s">
        <v>101</v>
      </c>
      <c r="J1900" s="3" t="s">
        <v>653</v>
      </c>
      <c r="K1900" s="3" t="s">
        <v>1660</v>
      </c>
      <c r="L1900" s="4">
        <v>0.38194444444444442</v>
      </c>
      <c r="M1900" s="3" t="s">
        <v>654</v>
      </c>
      <c r="N1900" s="3" t="s">
        <v>24</v>
      </c>
      <c r="O1900" s="3" t="s">
        <v>25</v>
      </c>
    </row>
    <row r="1901" spans="1:15">
      <c r="A1901" s="3" t="s">
        <v>15</v>
      </c>
      <c r="B1901" s="3" t="str">
        <f>"FES1162741880"</f>
        <v>FES1162741880</v>
      </c>
      <c r="C1901" s="3" t="s">
        <v>1572</v>
      </c>
      <c r="D1901" s="3">
        <v>1</v>
      </c>
      <c r="E1901" s="3" t="str">
        <f>"2170731366"</f>
        <v>2170731366</v>
      </c>
      <c r="F1901" s="3" t="s">
        <v>17</v>
      </c>
      <c r="G1901" s="3" t="s">
        <v>18</v>
      </c>
      <c r="H1901" s="3" t="s">
        <v>100</v>
      </c>
      <c r="I1901" s="3" t="s">
        <v>144</v>
      </c>
      <c r="J1901" s="3" t="s">
        <v>378</v>
      </c>
      <c r="K1901" s="3" t="s">
        <v>1660</v>
      </c>
      <c r="L1901" s="4">
        <v>0.43958333333333338</v>
      </c>
      <c r="M1901" s="3" t="s">
        <v>666</v>
      </c>
      <c r="N1901" s="3" t="s">
        <v>24</v>
      </c>
      <c r="O1901" s="3" t="s">
        <v>25</v>
      </c>
    </row>
    <row r="1902" spans="1:15">
      <c r="A1902" s="3" t="s">
        <v>15</v>
      </c>
      <c r="B1902" s="3" t="str">
        <f>"FES1162741861"</f>
        <v>FES1162741861</v>
      </c>
      <c r="C1902" s="3" t="s">
        <v>1572</v>
      </c>
      <c r="D1902" s="3">
        <v>1</v>
      </c>
      <c r="E1902" s="3" t="str">
        <f>"2170728609"</f>
        <v>2170728609</v>
      </c>
      <c r="F1902" s="3" t="s">
        <v>17</v>
      </c>
      <c r="G1902" s="3" t="s">
        <v>18</v>
      </c>
      <c r="H1902" s="3" t="s">
        <v>100</v>
      </c>
      <c r="I1902" s="3" t="s">
        <v>117</v>
      </c>
      <c r="J1902" s="3" t="s">
        <v>285</v>
      </c>
      <c r="K1902" s="3" t="s">
        <v>1660</v>
      </c>
      <c r="L1902" s="4">
        <v>0.51180555555555551</v>
      </c>
      <c r="M1902" s="3" t="s">
        <v>286</v>
      </c>
      <c r="N1902" s="3" t="s">
        <v>24</v>
      </c>
      <c r="O1902" s="3" t="s">
        <v>25</v>
      </c>
    </row>
    <row r="1903" spans="1:15">
      <c r="A1903" s="3" t="s">
        <v>15</v>
      </c>
      <c r="B1903" s="3" t="str">
        <f>"FES1162741901"</f>
        <v>FES1162741901</v>
      </c>
      <c r="C1903" s="3" t="s">
        <v>1572</v>
      </c>
      <c r="D1903" s="3">
        <v>1</v>
      </c>
      <c r="E1903" s="3" t="str">
        <f>"2170732725"</f>
        <v>2170732725</v>
      </c>
      <c r="F1903" s="3" t="s">
        <v>17</v>
      </c>
      <c r="G1903" s="3" t="s">
        <v>18</v>
      </c>
      <c r="H1903" s="3" t="s">
        <v>100</v>
      </c>
      <c r="I1903" s="3" t="s">
        <v>117</v>
      </c>
      <c r="J1903" s="3" t="s">
        <v>118</v>
      </c>
      <c r="K1903" s="3" t="s">
        <v>1660</v>
      </c>
      <c r="L1903" s="4">
        <v>0.5229166666666667</v>
      </c>
      <c r="M1903" s="3" t="s">
        <v>119</v>
      </c>
      <c r="N1903" s="3" t="s">
        <v>24</v>
      </c>
      <c r="O1903" s="3" t="s">
        <v>25</v>
      </c>
    </row>
    <row r="1904" spans="1:15">
      <c r="A1904" s="3" t="s">
        <v>15</v>
      </c>
      <c r="B1904" s="3" t="str">
        <f>"FES1162741870"</f>
        <v>FES1162741870</v>
      </c>
      <c r="C1904" s="3" t="s">
        <v>1572</v>
      </c>
      <c r="D1904" s="3">
        <v>1</v>
      </c>
      <c r="E1904" s="3" t="str">
        <f>"217031147"</f>
        <v>217031147</v>
      </c>
      <c r="F1904" s="3" t="s">
        <v>17</v>
      </c>
      <c r="G1904" s="3" t="s">
        <v>18</v>
      </c>
      <c r="H1904" s="3" t="s">
        <v>100</v>
      </c>
      <c r="I1904" s="3" t="s">
        <v>101</v>
      </c>
      <c r="J1904" s="3" t="s">
        <v>131</v>
      </c>
      <c r="K1904" s="3" t="s">
        <v>1660</v>
      </c>
      <c r="L1904" s="4">
        <v>0.35000000000000003</v>
      </c>
      <c r="M1904" s="3" t="s">
        <v>132</v>
      </c>
      <c r="N1904" s="3" t="s">
        <v>24</v>
      </c>
      <c r="O1904" s="3" t="s">
        <v>25</v>
      </c>
    </row>
    <row r="1905" spans="1:15">
      <c r="A1905" s="3" t="s">
        <v>15</v>
      </c>
      <c r="B1905" s="3" t="str">
        <f>"FES1162741897"</f>
        <v>FES1162741897</v>
      </c>
      <c r="C1905" s="3" t="s">
        <v>1572</v>
      </c>
      <c r="D1905" s="3">
        <v>1</v>
      </c>
      <c r="E1905" s="3" t="str">
        <f>"2170732413"</f>
        <v>2170732413</v>
      </c>
      <c r="F1905" s="3" t="s">
        <v>17</v>
      </c>
      <c r="G1905" s="3" t="s">
        <v>18</v>
      </c>
      <c r="H1905" s="3" t="s">
        <v>100</v>
      </c>
      <c r="I1905" s="3" t="s">
        <v>101</v>
      </c>
      <c r="J1905" s="3" t="s">
        <v>265</v>
      </c>
      <c r="K1905" s="3" t="s">
        <v>1660</v>
      </c>
      <c r="L1905" s="4">
        <v>0.32083333333333336</v>
      </c>
      <c r="M1905" s="3" t="s">
        <v>1671</v>
      </c>
      <c r="N1905" s="3" t="s">
        <v>24</v>
      </c>
      <c r="O1905" s="3" t="s">
        <v>25</v>
      </c>
    </row>
    <row r="1906" spans="1:15">
      <c r="A1906" s="3" t="s">
        <v>15</v>
      </c>
      <c r="B1906" s="3" t="str">
        <f>"FES1162741843"</f>
        <v>FES1162741843</v>
      </c>
      <c r="C1906" s="3" t="s">
        <v>1572</v>
      </c>
      <c r="D1906" s="3">
        <v>1</v>
      </c>
      <c r="E1906" s="3" t="str">
        <f>"2170733358"</f>
        <v>2170733358</v>
      </c>
      <c r="F1906" s="3" t="s">
        <v>17</v>
      </c>
      <c r="G1906" s="3" t="s">
        <v>18</v>
      </c>
      <c r="H1906" s="3" t="s">
        <v>18</v>
      </c>
      <c r="I1906" s="3" t="s">
        <v>33</v>
      </c>
      <c r="J1906" s="3" t="s">
        <v>34</v>
      </c>
      <c r="K1906" s="3" t="s">
        <v>1660</v>
      </c>
      <c r="L1906" s="4">
        <v>0.3576388888888889</v>
      </c>
      <c r="M1906" s="3" t="s">
        <v>1672</v>
      </c>
      <c r="N1906" s="3" t="s">
        <v>24</v>
      </c>
      <c r="O1906" s="3" t="s">
        <v>25</v>
      </c>
    </row>
    <row r="1907" spans="1:15">
      <c r="A1907" s="3" t="s">
        <v>15</v>
      </c>
      <c r="B1907" s="3" t="str">
        <f>"FES1162741813"</f>
        <v>FES1162741813</v>
      </c>
      <c r="C1907" s="3" t="s">
        <v>1572</v>
      </c>
      <c r="D1907" s="3">
        <v>1</v>
      </c>
      <c r="E1907" s="3" t="str">
        <f>"21707333333"</f>
        <v>21707333333</v>
      </c>
      <c r="F1907" s="3" t="s">
        <v>17</v>
      </c>
      <c r="G1907" s="3" t="s">
        <v>18</v>
      </c>
      <c r="H1907" s="3" t="s">
        <v>18</v>
      </c>
      <c r="I1907" s="3" t="s">
        <v>33</v>
      </c>
      <c r="J1907" s="3" t="s">
        <v>34</v>
      </c>
      <c r="K1907" s="3" t="s">
        <v>1660</v>
      </c>
      <c r="L1907" s="4">
        <v>0.35694444444444445</v>
      </c>
      <c r="M1907" s="3" t="s">
        <v>1672</v>
      </c>
      <c r="N1907" s="3" t="s">
        <v>24</v>
      </c>
      <c r="O1907" s="3" t="s">
        <v>25</v>
      </c>
    </row>
    <row r="1908" spans="1:15">
      <c r="A1908" s="3" t="s">
        <v>15</v>
      </c>
      <c r="B1908" s="3" t="str">
        <f>"FES1162741911"</f>
        <v>FES1162741911</v>
      </c>
      <c r="C1908" s="3" t="s">
        <v>1572</v>
      </c>
      <c r="D1908" s="3">
        <v>1</v>
      </c>
      <c r="E1908" s="3" t="str">
        <f>"2170733269"</f>
        <v>2170733269</v>
      </c>
      <c r="F1908" s="3" t="s">
        <v>528</v>
      </c>
      <c r="G1908" s="3" t="s">
        <v>948</v>
      </c>
      <c r="H1908" s="3" t="s">
        <v>36</v>
      </c>
      <c r="I1908" s="3" t="s">
        <v>330</v>
      </c>
      <c r="J1908" s="3" t="s">
        <v>331</v>
      </c>
      <c r="K1908" s="3" t="s">
        <v>1666</v>
      </c>
      <c r="L1908" s="4">
        <v>0.42430555555555555</v>
      </c>
      <c r="M1908" s="3" t="s">
        <v>332</v>
      </c>
      <c r="N1908" s="3" t="s">
        <v>24</v>
      </c>
      <c r="O1908" s="3" t="s">
        <v>25</v>
      </c>
    </row>
    <row r="1909" spans="1:15">
      <c r="A1909" s="3" t="s">
        <v>15</v>
      </c>
      <c r="B1909" s="3" t="str">
        <f>"FES1162741663"</f>
        <v>FES1162741663</v>
      </c>
      <c r="C1909" s="3" t="s">
        <v>1572</v>
      </c>
      <c r="D1909" s="3">
        <v>2</v>
      </c>
      <c r="E1909" s="3" t="str">
        <f>"2170731405"</f>
        <v>2170731405</v>
      </c>
      <c r="F1909" s="3" t="s">
        <v>17</v>
      </c>
      <c r="G1909" s="3" t="s">
        <v>18</v>
      </c>
      <c r="H1909" s="3" t="s">
        <v>36</v>
      </c>
      <c r="I1909" s="3" t="s">
        <v>330</v>
      </c>
      <c r="J1909" s="3" t="s">
        <v>331</v>
      </c>
      <c r="K1909" s="3" t="s">
        <v>1660</v>
      </c>
      <c r="L1909" s="4">
        <v>0.4152777777777778</v>
      </c>
      <c r="M1909" s="3" t="s">
        <v>332</v>
      </c>
      <c r="N1909" s="3" t="s">
        <v>24</v>
      </c>
      <c r="O1909" s="3" t="s">
        <v>25</v>
      </c>
    </row>
    <row r="1910" spans="1:15">
      <c r="A1910" s="3" t="s">
        <v>15</v>
      </c>
      <c r="B1910" s="3" t="str">
        <f>"FES1162741859"</f>
        <v>FES1162741859</v>
      </c>
      <c r="C1910" s="3" t="s">
        <v>1572</v>
      </c>
      <c r="D1910" s="3">
        <v>1</v>
      </c>
      <c r="E1910" s="3" t="str">
        <f>"2170730674"</f>
        <v>2170730674</v>
      </c>
      <c r="F1910" s="3" t="s">
        <v>17</v>
      </c>
      <c r="G1910" s="3" t="s">
        <v>18</v>
      </c>
      <c r="H1910" s="3" t="s">
        <v>36</v>
      </c>
      <c r="I1910" s="3" t="s">
        <v>37</v>
      </c>
      <c r="J1910" s="3" t="s">
        <v>1673</v>
      </c>
      <c r="K1910" s="3" t="s">
        <v>1660</v>
      </c>
      <c r="L1910" s="4">
        <v>0.41666666666666669</v>
      </c>
      <c r="M1910" s="3" t="s">
        <v>1674</v>
      </c>
      <c r="N1910" s="3" t="s">
        <v>24</v>
      </c>
      <c r="O1910" s="3" t="s">
        <v>25</v>
      </c>
    </row>
    <row r="1911" spans="1:15">
      <c r="A1911" s="3" t="s">
        <v>15</v>
      </c>
      <c r="B1911" s="3" t="str">
        <f>"FES1162741888"</f>
        <v>FES1162741888</v>
      </c>
      <c r="C1911" s="3" t="s">
        <v>1572</v>
      </c>
      <c r="D1911" s="3">
        <v>1</v>
      </c>
      <c r="E1911" s="3" t="str">
        <f>"2170731518"</f>
        <v>2170731518</v>
      </c>
      <c r="F1911" s="3" t="s">
        <v>17</v>
      </c>
      <c r="G1911" s="3" t="s">
        <v>18</v>
      </c>
      <c r="H1911" s="3" t="s">
        <v>46</v>
      </c>
      <c r="I1911" s="3" t="s">
        <v>620</v>
      </c>
      <c r="J1911" s="3" t="s">
        <v>621</v>
      </c>
      <c r="K1911" s="3" t="s">
        <v>1660</v>
      </c>
      <c r="L1911" s="4">
        <v>0.56458333333333333</v>
      </c>
      <c r="M1911" s="3" t="s">
        <v>623</v>
      </c>
      <c r="N1911" s="3" t="s">
        <v>24</v>
      </c>
      <c r="O1911" s="3" t="s">
        <v>25</v>
      </c>
    </row>
    <row r="1912" spans="1:15">
      <c r="A1912" s="11" t="s">
        <v>15</v>
      </c>
      <c r="B1912" s="11" t="str">
        <f>"FES1162741794"</f>
        <v>FES1162741794</v>
      </c>
      <c r="C1912" s="11" t="s">
        <v>1572</v>
      </c>
      <c r="D1912" s="11">
        <v>1</v>
      </c>
      <c r="E1912" s="11" t="str">
        <f>"217073304"</f>
        <v>217073304</v>
      </c>
      <c r="F1912" s="11" t="s">
        <v>17</v>
      </c>
      <c r="G1912" s="11" t="s">
        <v>18</v>
      </c>
      <c r="H1912" s="11" t="s">
        <v>18</v>
      </c>
      <c r="I1912" s="11" t="s">
        <v>206</v>
      </c>
      <c r="J1912" s="11" t="s">
        <v>207</v>
      </c>
      <c r="K1912" s="11" t="s">
        <v>447</v>
      </c>
      <c r="L1912" s="11"/>
      <c r="M1912" s="11" t="s">
        <v>448</v>
      </c>
      <c r="N1912" s="11" t="s">
        <v>1675</v>
      </c>
      <c r="O1912" s="11" t="s">
        <v>25</v>
      </c>
    </row>
    <row r="1913" spans="1:15">
      <c r="A1913" s="3" t="s">
        <v>15</v>
      </c>
      <c r="B1913" s="3" t="str">
        <f>"FES1162741837"</f>
        <v>FES1162741837</v>
      </c>
      <c r="C1913" s="3" t="s">
        <v>1572</v>
      </c>
      <c r="D1913" s="3">
        <v>1</v>
      </c>
      <c r="E1913" s="3" t="str">
        <f>"2170733083"</f>
        <v>2170733083</v>
      </c>
      <c r="F1913" s="3" t="s">
        <v>17</v>
      </c>
      <c r="G1913" s="3" t="s">
        <v>18</v>
      </c>
      <c r="H1913" s="3" t="s">
        <v>18</v>
      </c>
      <c r="I1913" s="3" t="s">
        <v>171</v>
      </c>
      <c r="J1913" s="3" t="s">
        <v>884</v>
      </c>
      <c r="K1913" s="3" t="s">
        <v>1660</v>
      </c>
      <c r="L1913" s="4">
        <v>0.28750000000000003</v>
      </c>
      <c r="M1913" s="3" t="s">
        <v>232</v>
      </c>
      <c r="N1913" s="3" t="s">
        <v>24</v>
      </c>
      <c r="O1913" s="3" t="s">
        <v>25</v>
      </c>
    </row>
    <row r="1914" spans="1:15">
      <c r="A1914" s="3" t="s">
        <v>15</v>
      </c>
      <c r="B1914" s="3" t="str">
        <f>"FES1162741696"</f>
        <v>FES1162741696</v>
      </c>
      <c r="C1914" s="3" t="s">
        <v>1572</v>
      </c>
      <c r="D1914" s="3">
        <v>1</v>
      </c>
      <c r="E1914" s="3" t="str">
        <f>"2170733247"</f>
        <v>2170733247</v>
      </c>
      <c r="F1914" s="3" t="s">
        <v>17</v>
      </c>
      <c r="G1914" s="3" t="s">
        <v>18</v>
      </c>
      <c r="H1914" s="3" t="s">
        <v>18</v>
      </c>
      <c r="I1914" s="3" t="s">
        <v>171</v>
      </c>
      <c r="J1914" s="3" t="s">
        <v>189</v>
      </c>
      <c r="K1914" s="3" t="s">
        <v>1660</v>
      </c>
      <c r="L1914" s="4">
        <v>0.33333333333333331</v>
      </c>
      <c r="M1914" s="3" t="s">
        <v>868</v>
      </c>
      <c r="N1914" s="3" t="s">
        <v>24</v>
      </c>
      <c r="O1914" s="3" t="s">
        <v>25</v>
      </c>
    </row>
    <row r="1915" spans="1:15">
      <c r="A1915" s="3" t="s">
        <v>15</v>
      </c>
      <c r="B1915" s="3" t="str">
        <f>"FES1162741769"</f>
        <v>FES1162741769</v>
      </c>
      <c r="C1915" s="3" t="s">
        <v>1572</v>
      </c>
      <c r="D1915" s="3">
        <v>1</v>
      </c>
      <c r="E1915" s="3" t="str">
        <f>"2170733273"</f>
        <v>2170733273</v>
      </c>
      <c r="F1915" s="3" t="s">
        <v>17</v>
      </c>
      <c r="G1915" s="3" t="s">
        <v>18</v>
      </c>
      <c r="H1915" s="3" t="s">
        <v>18</v>
      </c>
      <c r="I1915" s="3" t="s">
        <v>151</v>
      </c>
      <c r="J1915" s="3" t="s">
        <v>1676</v>
      </c>
      <c r="K1915" s="3" t="s">
        <v>1660</v>
      </c>
      <c r="L1915" s="4">
        <v>0.44236111111111115</v>
      </c>
      <c r="M1915" s="3" t="s">
        <v>1677</v>
      </c>
      <c r="N1915" s="3" t="s">
        <v>24</v>
      </c>
      <c r="O1915" s="3" t="s">
        <v>25</v>
      </c>
    </row>
    <row r="1916" spans="1:15">
      <c r="A1916" s="3" t="s">
        <v>15</v>
      </c>
      <c r="B1916" s="3" t="str">
        <f>"FES1162741846"</f>
        <v>FES1162741846</v>
      </c>
      <c r="C1916" s="3" t="s">
        <v>1572</v>
      </c>
      <c r="D1916" s="3">
        <v>1</v>
      </c>
      <c r="E1916" s="3" t="str">
        <f>"2170730327"</f>
        <v>2170730327</v>
      </c>
      <c r="F1916" s="3" t="s">
        <v>17</v>
      </c>
      <c r="G1916" s="3" t="s">
        <v>18</v>
      </c>
      <c r="H1916" s="3" t="s">
        <v>18</v>
      </c>
      <c r="I1916" s="3" t="s">
        <v>171</v>
      </c>
      <c r="J1916" s="3" t="s">
        <v>197</v>
      </c>
      <c r="K1916" s="3" t="s">
        <v>1660</v>
      </c>
      <c r="L1916" s="4">
        <v>0.37777777777777777</v>
      </c>
      <c r="M1916" s="3" t="s">
        <v>1138</v>
      </c>
      <c r="N1916" s="3" t="s">
        <v>24</v>
      </c>
      <c r="O1916" s="3" t="s">
        <v>25</v>
      </c>
    </row>
    <row r="1917" spans="1:15">
      <c r="A1917" s="5" t="s">
        <v>15</v>
      </c>
      <c r="B1917" s="5" t="str">
        <f>"FES1162741786"</f>
        <v>FES1162741786</v>
      </c>
      <c r="C1917" s="5" t="s">
        <v>1572</v>
      </c>
      <c r="D1917" s="5">
        <v>1</v>
      </c>
      <c r="E1917" s="5" t="str">
        <f>"2170733295"</f>
        <v>2170733295</v>
      </c>
      <c r="F1917" s="5" t="s">
        <v>17</v>
      </c>
      <c r="G1917" s="5" t="s">
        <v>18</v>
      </c>
      <c r="H1917" s="5" t="s">
        <v>18</v>
      </c>
      <c r="I1917" s="5" t="s">
        <v>171</v>
      </c>
      <c r="J1917" s="5" t="s">
        <v>204</v>
      </c>
      <c r="K1917" s="5" t="s">
        <v>1660</v>
      </c>
      <c r="L1917" s="6">
        <v>0.33333333333333331</v>
      </c>
      <c r="M1917" s="5" t="s">
        <v>461</v>
      </c>
      <c r="N1917" s="5" t="s">
        <v>24</v>
      </c>
      <c r="O1917" s="5" t="s">
        <v>25</v>
      </c>
    </row>
    <row r="1918" spans="1:15">
      <c r="A1918" s="5" t="s">
        <v>15</v>
      </c>
      <c r="B1918" s="5" t="str">
        <f>"FES1162741659"</f>
        <v>FES1162741659</v>
      </c>
      <c r="C1918" s="5" t="s">
        <v>1572</v>
      </c>
      <c r="D1918" s="5">
        <v>2</v>
      </c>
      <c r="E1918" s="5" t="str">
        <f>"2170730611"</f>
        <v>2170730611</v>
      </c>
      <c r="F1918" s="5" t="s">
        <v>17</v>
      </c>
      <c r="G1918" s="5" t="s">
        <v>18</v>
      </c>
      <c r="H1918" s="5" t="s">
        <v>18</v>
      </c>
      <c r="I1918" s="5" t="s">
        <v>171</v>
      </c>
      <c r="J1918" s="5" t="s">
        <v>204</v>
      </c>
      <c r="K1918" s="5" t="s">
        <v>1660</v>
      </c>
      <c r="L1918" s="6">
        <v>0.33333333333333331</v>
      </c>
      <c r="M1918" s="5" t="s">
        <v>461</v>
      </c>
      <c r="N1918" s="5" t="s">
        <v>24</v>
      </c>
      <c r="O1918" s="5" t="s">
        <v>25</v>
      </c>
    </row>
    <row r="1919" spans="1:15">
      <c r="A1919" s="5" t="s">
        <v>15</v>
      </c>
      <c r="B1919" s="5" t="str">
        <f>"FES1162741887"</f>
        <v>FES1162741887</v>
      </c>
      <c r="C1919" s="5" t="s">
        <v>1572</v>
      </c>
      <c r="D1919" s="5">
        <v>1</v>
      </c>
      <c r="E1919" s="5" t="str">
        <f>"2170731512"</f>
        <v>2170731512</v>
      </c>
      <c r="F1919" s="5" t="s">
        <v>17</v>
      </c>
      <c r="G1919" s="5" t="s">
        <v>18</v>
      </c>
      <c r="H1919" s="5" t="s">
        <v>36</v>
      </c>
      <c r="I1919" s="5" t="s">
        <v>37</v>
      </c>
      <c r="J1919" s="5" t="s">
        <v>585</v>
      </c>
      <c r="K1919" s="5" t="s">
        <v>1660</v>
      </c>
      <c r="L1919" s="6">
        <v>0.39027777777777778</v>
      </c>
      <c r="M1919" s="5" t="s">
        <v>1678</v>
      </c>
      <c r="N1919" s="5" t="s">
        <v>24</v>
      </c>
      <c r="O1919" s="5" t="s">
        <v>25</v>
      </c>
    </row>
    <row r="1920" spans="1:15">
      <c r="A1920" s="5" t="s">
        <v>15</v>
      </c>
      <c r="B1920" s="5" t="str">
        <f>"FES1162741936"</f>
        <v>FES1162741936</v>
      </c>
      <c r="C1920" s="5" t="s">
        <v>1572</v>
      </c>
      <c r="D1920" s="5">
        <v>1</v>
      </c>
      <c r="E1920" s="5" t="str">
        <f>"2170733430"</f>
        <v>2170733430</v>
      </c>
      <c r="F1920" s="5" t="s">
        <v>17</v>
      </c>
      <c r="G1920" s="5" t="s">
        <v>18</v>
      </c>
      <c r="H1920" s="5" t="s">
        <v>36</v>
      </c>
      <c r="I1920" s="5" t="s">
        <v>37</v>
      </c>
      <c r="J1920" s="5" t="s">
        <v>650</v>
      </c>
      <c r="K1920" s="5" t="s">
        <v>1660</v>
      </c>
      <c r="L1920" s="6">
        <v>0.37986111111111115</v>
      </c>
      <c r="M1920" s="5" t="s">
        <v>1679</v>
      </c>
      <c r="N1920" s="5" t="s">
        <v>24</v>
      </c>
      <c r="O1920" s="5" t="s">
        <v>25</v>
      </c>
    </row>
    <row r="1921" spans="1:15">
      <c r="A1921" s="5" t="s">
        <v>15</v>
      </c>
      <c r="B1921" s="5" t="str">
        <f>"FES1162741873"</f>
        <v>FES1162741873</v>
      </c>
      <c r="C1921" s="5" t="s">
        <v>1572</v>
      </c>
      <c r="D1921" s="5">
        <v>1</v>
      </c>
      <c r="E1921" s="5" t="str">
        <f>"2170731240"</f>
        <v>2170731240</v>
      </c>
      <c r="F1921" s="5" t="s">
        <v>17</v>
      </c>
      <c r="G1921" s="5" t="s">
        <v>18</v>
      </c>
      <c r="H1921" s="5" t="s">
        <v>46</v>
      </c>
      <c r="I1921" s="5" t="s">
        <v>1073</v>
      </c>
      <c r="J1921" s="5" t="s">
        <v>1198</v>
      </c>
      <c r="K1921" s="5" t="s">
        <v>1660</v>
      </c>
      <c r="L1921" s="6">
        <v>0.37986111111111115</v>
      </c>
      <c r="M1921" s="5" t="s">
        <v>1680</v>
      </c>
      <c r="N1921" s="5" t="s">
        <v>24</v>
      </c>
      <c r="O1921" s="5" t="s">
        <v>1681</v>
      </c>
    </row>
    <row r="1922" spans="1:15">
      <c r="A1922" s="5" t="s">
        <v>15</v>
      </c>
      <c r="B1922" s="5" t="str">
        <f>"FES1162741878"</f>
        <v>FES1162741878</v>
      </c>
      <c r="C1922" s="5" t="s">
        <v>1572</v>
      </c>
      <c r="D1922" s="5">
        <v>1</v>
      </c>
      <c r="E1922" s="5" t="str">
        <f>"2170731329"</f>
        <v>2170731329</v>
      </c>
      <c r="F1922" s="5" t="s">
        <v>17</v>
      </c>
      <c r="G1922" s="5" t="s">
        <v>18</v>
      </c>
      <c r="H1922" s="5" t="s">
        <v>46</v>
      </c>
      <c r="I1922" s="5" t="s">
        <v>47</v>
      </c>
      <c r="J1922" s="5" t="s">
        <v>481</v>
      </c>
      <c r="K1922" s="5" t="s">
        <v>1660</v>
      </c>
      <c r="L1922" s="6">
        <v>0.43333333333333335</v>
      </c>
      <c r="M1922" s="5" t="s">
        <v>1682</v>
      </c>
      <c r="N1922" s="5" t="s">
        <v>24</v>
      </c>
      <c r="O1922" s="5" t="s">
        <v>25</v>
      </c>
    </row>
    <row r="1923" spans="1:15">
      <c r="A1923" s="5" t="s">
        <v>15</v>
      </c>
      <c r="B1923" s="5" t="str">
        <f>"FES1162741858"</f>
        <v>FES1162741858</v>
      </c>
      <c r="C1923" s="5" t="s">
        <v>1572</v>
      </c>
      <c r="D1923" s="5">
        <v>1</v>
      </c>
      <c r="E1923" s="5" t="str">
        <f>"2170733373"</f>
        <v>2170733373</v>
      </c>
      <c r="F1923" s="5" t="s">
        <v>17</v>
      </c>
      <c r="G1923" s="5" t="s">
        <v>18</v>
      </c>
      <c r="H1923" s="5" t="s">
        <v>18</v>
      </c>
      <c r="I1923" s="5" t="s">
        <v>29</v>
      </c>
      <c r="J1923" s="5" t="s">
        <v>307</v>
      </c>
      <c r="K1923" s="5" t="s">
        <v>1660</v>
      </c>
      <c r="L1923" s="6">
        <v>0.33333333333333331</v>
      </c>
      <c r="M1923" s="5" t="s">
        <v>308</v>
      </c>
      <c r="N1923" s="5" t="s">
        <v>24</v>
      </c>
      <c r="O1923" s="5" t="s">
        <v>25</v>
      </c>
    </row>
    <row r="1924" spans="1:15">
      <c r="A1924" s="5" t="s">
        <v>15</v>
      </c>
      <c r="B1924" s="5" t="str">
        <f>"FES1162741788"</f>
        <v>FES1162741788</v>
      </c>
      <c r="C1924" s="5" t="s">
        <v>1572</v>
      </c>
      <c r="D1924" s="5">
        <v>1</v>
      </c>
      <c r="E1924" s="5" t="str">
        <f>"2170733297"</f>
        <v>2170733297</v>
      </c>
      <c r="F1924" s="5" t="s">
        <v>17</v>
      </c>
      <c r="G1924" s="5" t="s">
        <v>18</v>
      </c>
      <c r="H1924" s="5" t="s">
        <v>18</v>
      </c>
      <c r="I1924" s="5" t="s">
        <v>151</v>
      </c>
      <c r="J1924" s="5" t="s">
        <v>1683</v>
      </c>
      <c r="K1924" s="5" t="s">
        <v>1660</v>
      </c>
      <c r="L1924" s="6">
        <v>0.31111111111111112</v>
      </c>
      <c r="M1924" s="5" t="s">
        <v>1684</v>
      </c>
      <c r="N1924" s="5" t="s">
        <v>24</v>
      </c>
      <c r="O1924" s="5" t="s">
        <v>25</v>
      </c>
    </row>
    <row r="1925" spans="1:15">
      <c r="A1925" s="3" t="s">
        <v>15</v>
      </c>
      <c r="B1925" s="3" t="str">
        <f>"FES1162741804"</f>
        <v>FES1162741804</v>
      </c>
      <c r="C1925" s="3" t="s">
        <v>1572</v>
      </c>
      <c r="D1925" s="3">
        <v>1</v>
      </c>
      <c r="E1925" s="3" t="str">
        <f>"2170733322"</f>
        <v>2170733322</v>
      </c>
      <c r="F1925" s="3" t="s">
        <v>17</v>
      </c>
      <c r="G1925" s="3" t="s">
        <v>18</v>
      </c>
      <c r="H1925" s="3" t="s">
        <v>18</v>
      </c>
      <c r="I1925" s="3" t="s">
        <v>309</v>
      </c>
      <c r="J1925" s="3" t="s">
        <v>278</v>
      </c>
      <c r="K1925" s="3" t="s">
        <v>1660</v>
      </c>
      <c r="L1925" s="4">
        <v>0.33333333333333331</v>
      </c>
      <c r="M1925" s="3" t="s">
        <v>200</v>
      </c>
      <c r="N1925" s="3" t="s">
        <v>24</v>
      </c>
      <c r="O1925" s="3" t="s">
        <v>25</v>
      </c>
    </row>
    <row r="1926" spans="1:15">
      <c r="A1926" s="3" t="s">
        <v>15</v>
      </c>
      <c r="B1926" s="3" t="str">
        <f>"009935712352"</f>
        <v>009935712352</v>
      </c>
      <c r="C1926" s="3" t="s">
        <v>1572</v>
      </c>
      <c r="D1926" s="3">
        <v>1</v>
      </c>
      <c r="E1926" s="3" t="str">
        <f>"1162730603"</f>
        <v>1162730603</v>
      </c>
      <c r="F1926" s="3" t="s">
        <v>17</v>
      </c>
      <c r="G1926" s="3" t="s">
        <v>18</v>
      </c>
      <c r="H1926" s="3" t="s">
        <v>18</v>
      </c>
      <c r="I1926" s="3" t="s">
        <v>171</v>
      </c>
      <c r="J1926" s="3" t="s">
        <v>642</v>
      </c>
      <c r="K1926" s="3" t="s">
        <v>1660</v>
      </c>
      <c r="L1926" s="4">
        <v>0.41666666666666669</v>
      </c>
      <c r="M1926" s="3" t="s">
        <v>28</v>
      </c>
      <c r="N1926" s="3" t="s">
        <v>24</v>
      </c>
      <c r="O1926" s="3" t="s">
        <v>32</v>
      </c>
    </row>
    <row r="1927" spans="1:15">
      <c r="A1927" s="3" t="s">
        <v>15</v>
      </c>
      <c r="B1927" s="3" t="str">
        <f>"FES1162741793"</f>
        <v>FES1162741793</v>
      </c>
      <c r="C1927" s="3" t="s">
        <v>1572</v>
      </c>
      <c r="D1927" s="3">
        <v>1</v>
      </c>
      <c r="E1927" s="3" t="str">
        <f>"2170733303"</f>
        <v>2170733303</v>
      </c>
      <c r="F1927" s="3" t="s">
        <v>17</v>
      </c>
      <c r="G1927" s="3" t="s">
        <v>18</v>
      </c>
      <c r="H1927" s="3" t="s">
        <v>18</v>
      </c>
      <c r="I1927" s="3" t="s">
        <v>151</v>
      </c>
      <c r="J1927" s="3" t="s">
        <v>1683</v>
      </c>
      <c r="K1927" s="3" t="s">
        <v>1660</v>
      </c>
      <c r="L1927" s="4">
        <v>0.31319444444444444</v>
      </c>
      <c r="M1927" s="3" t="s">
        <v>1684</v>
      </c>
      <c r="N1927" s="3" t="s">
        <v>24</v>
      </c>
      <c r="O1927" s="3" t="s">
        <v>25</v>
      </c>
    </row>
    <row r="1928" spans="1:15">
      <c r="A1928" s="3" t="s">
        <v>15</v>
      </c>
      <c r="B1928" s="3" t="str">
        <f>"FES1162741905"</f>
        <v>FES1162741905</v>
      </c>
      <c r="C1928" s="3" t="s">
        <v>1572</v>
      </c>
      <c r="D1928" s="3">
        <v>1</v>
      </c>
      <c r="E1928" s="3" t="str">
        <f>"2170732908"</f>
        <v>2170732908</v>
      </c>
      <c r="F1928" s="3" t="s">
        <v>17</v>
      </c>
      <c r="G1928" s="3" t="s">
        <v>18</v>
      </c>
      <c r="H1928" s="3" t="s">
        <v>70</v>
      </c>
      <c r="I1928" s="3" t="s">
        <v>71</v>
      </c>
      <c r="J1928" s="3" t="s">
        <v>392</v>
      </c>
      <c r="K1928" s="3" t="s">
        <v>1660</v>
      </c>
      <c r="L1928" s="4">
        <v>0.51736111111111105</v>
      </c>
      <c r="M1928" s="3" t="s">
        <v>994</v>
      </c>
      <c r="N1928" s="3" t="s">
        <v>24</v>
      </c>
      <c r="O1928" s="3" t="s">
        <v>25</v>
      </c>
    </row>
    <row r="1929" spans="1:15">
      <c r="A1929" s="3" t="s">
        <v>15</v>
      </c>
      <c r="B1929" s="3" t="str">
        <f>"FES1162741831"</f>
        <v>FES1162741831</v>
      </c>
      <c r="C1929" s="3" t="s">
        <v>1572</v>
      </c>
      <c r="D1929" s="3">
        <v>1</v>
      </c>
      <c r="E1929" s="3" t="str">
        <f>"2170733350"</f>
        <v>2170733350</v>
      </c>
      <c r="F1929" s="3" t="s">
        <v>17</v>
      </c>
      <c r="G1929" s="3" t="s">
        <v>18</v>
      </c>
      <c r="H1929" s="3" t="s">
        <v>18</v>
      </c>
      <c r="I1929" s="3" t="s">
        <v>171</v>
      </c>
      <c r="J1929" s="3" t="s">
        <v>204</v>
      </c>
      <c r="K1929" s="3" t="s">
        <v>1660</v>
      </c>
      <c r="L1929" s="4">
        <v>0.33333333333333331</v>
      </c>
      <c r="M1929" s="3" t="s">
        <v>461</v>
      </c>
      <c r="N1929" s="3" t="s">
        <v>24</v>
      </c>
      <c r="O1929" s="3" t="s">
        <v>25</v>
      </c>
    </row>
    <row r="1930" spans="1:15">
      <c r="A1930" s="3" t="s">
        <v>15</v>
      </c>
      <c r="B1930" s="3" t="str">
        <f>"FES1162741893"</f>
        <v>FES1162741893</v>
      </c>
      <c r="C1930" s="3" t="s">
        <v>1572</v>
      </c>
      <c r="D1930" s="3">
        <v>1</v>
      </c>
      <c r="E1930" s="3" t="str">
        <f>"2170731722"</f>
        <v>2170731722</v>
      </c>
      <c r="F1930" s="3" t="s">
        <v>17</v>
      </c>
      <c r="G1930" s="3" t="s">
        <v>18</v>
      </c>
      <c r="H1930" s="3" t="s">
        <v>19</v>
      </c>
      <c r="I1930" s="3" t="s">
        <v>20</v>
      </c>
      <c r="J1930" s="3" t="s">
        <v>223</v>
      </c>
      <c r="K1930" s="3" t="s">
        <v>1660</v>
      </c>
      <c r="L1930" s="4">
        <v>0.40416666666666662</v>
      </c>
      <c r="M1930" s="3" t="s">
        <v>1685</v>
      </c>
      <c r="N1930" s="3" t="s">
        <v>24</v>
      </c>
      <c r="O1930" s="3" t="s">
        <v>25</v>
      </c>
    </row>
    <row r="1931" spans="1:15">
      <c r="A1931" s="3" t="s">
        <v>15</v>
      </c>
      <c r="B1931" s="3" t="str">
        <f>"FES1162741872"</f>
        <v>FES1162741872</v>
      </c>
      <c r="C1931" s="3" t="s">
        <v>1572</v>
      </c>
      <c r="D1931" s="3">
        <v>1</v>
      </c>
      <c r="E1931" s="3" t="str">
        <f>"2170731233"</f>
        <v>2170731233</v>
      </c>
      <c r="F1931" s="3" t="s">
        <v>17</v>
      </c>
      <c r="G1931" s="3" t="s">
        <v>18</v>
      </c>
      <c r="H1931" s="3" t="s">
        <v>70</v>
      </c>
      <c r="I1931" s="3" t="s">
        <v>71</v>
      </c>
      <c r="J1931" s="3" t="s">
        <v>750</v>
      </c>
      <c r="K1931" s="3" t="s">
        <v>1660</v>
      </c>
      <c r="L1931" s="4">
        <v>0.35416666666666669</v>
      </c>
      <c r="M1931" s="3" t="s">
        <v>1686</v>
      </c>
      <c r="N1931" s="3" t="s">
        <v>24</v>
      </c>
      <c r="O1931" s="3" t="s">
        <v>25</v>
      </c>
    </row>
    <row r="1932" spans="1:15">
      <c r="A1932" s="3" t="s">
        <v>15</v>
      </c>
      <c r="B1932" s="3" t="str">
        <f>"FES1162741881"</f>
        <v>FES1162741881</v>
      </c>
      <c r="C1932" s="3" t="s">
        <v>1572</v>
      </c>
      <c r="D1932" s="3">
        <v>1</v>
      </c>
      <c r="E1932" s="3" t="str">
        <f>"21707386"</f>
        <v>21707386</v>
      </c>
      <c r="F1932" s="3" t="s">
        <v>17</v>
      </c>
      <c r="G1932" s="3" t="s">
        <v>18</v>
      </c>
      <c r="H1932" s="3" t="s">
        <v>100</v>
      </c>
      <c r="I1932" s="3" t="s">
        <v>101</v>
      </c>
      <c r="J1932" s="3" t="s">
        <v>1217</v>
      </c>
      <c r="K1932" s="3" t="s">
        <v>1660</v>
      </c>
      <c r="L1932" s="4">
        <v>0.35416666666666669</v>
      </c>
      <c r="M1932" s="3" t="s">
        <v>254</v>
      </c>
      <c r="N1932" s="3" t="s">
        <v>24</v>
      </c>
      <c r="O1932" s="3" t="s">
        <v>25</v>
      </c>
    </row>
    <row r="1933" spans="1:15">
      <c r="A1933" s="3" t="s">
        <v>15</v>
      </c>
      <c r="B1933" s="3" t="str">
        <f>"FES1162741868"</f>
        <v>FES1162741868</v>
      </c>
      <c r="C1933" s="3" t="s">
        <v>1572</v>
      </c>
      <c r="D1933" s="3">
        <v>1</v>
      </c>
      <c r="E1933" s="3" t="str">
        <f>"2170731138"</f>
        <v>2170731138</v>
      </c>
      <c r="F1933" s="3" t="s">
        <v>17</v>
      </c>
      <c r="G1933" s="3" t="s">
        <v>18</v>
      </c>
      <c r="H1933" s="3" t="s">
        <v>100</v>
      </c>
      <c r="I1933" s="3" t="s">
        <v>101</v>
      </c>
      <c r="J1933" s="3" t="s">
        <v>131</v>
      </c>
      <c r="K1933" s="3" t="s">
        <v>1660</v>
      </c>
      <c r="L1933" s="4">
        <v>0.34861111111111115</v>
      </c>
      <c r="M1933" s="3" t="s">
        <v>132</v>
      </c>
      <c r="N1933" s="3" t="s">
        <v>24</v>
      </c>
      <c r="O1933" s="3" t="s">
        <v>25</v>
      </c>
    </row>
    <row r="1934" spans="1:15">
      <c r="A1934" s="3" t="s">
        <v>15</v>
      </c>
      <c r="B1934" s="3" t="str">
        <f>"FES1162741912"</f>
        <v>FES1162741912</v>
      </c>
      <c r="C1934" s="3" t="s">
        <v>1572</v>
      </c>
      <c r="D1934" s="3">
        <v>1</v>
      </c>
      <c r="E1934" s="3" t="str">
        <f>"2170733289"</f>
        <v>2170733289</v>
      </c>
      <c r="F1934" s="3" t="s">
        <v>17</v>
      </c>
      <c r="G1934" s="3" t="s">
        <v>18</v>
      </c>
      <c r="H1934" s="3" t="s">
        <v>100</v>
      </c>
      <c r="I1934" s="3" t="s">
        <v>101</v>
      </c>
      <c r="J1934" s="3" t="s">
        <v>142</v>
      </c>
      <c r="K1934" s="3" t="s">
        <v>1660</v>
      </c>
      <c r="L1934" s="4">
        <v>0.33055555555555555</v>
      </c>
      <c r="M1934" s="3" t="s">
        <v>1169</v>
      </c>
      <c r="N1934" s="3" t="s">
        <v>24</v>
      </c>
      <c r="O1934" s="3" t="s">
        <v>25</v>
      </c>
    </row>
    <row r="1935" spans="1:15">
      <c r="A1935" s="3" t="s">
        <v>15</v>
      </c>
      <c r="B1935" s="3" t="str">
        <f>"FES1162741875"</f>
        <v>FES1162741875</v>
      </c>
      <c r="C1935" s="3" t="s">
        <v>1572</v>
      </c>
      <c r="D1935" s="3">
        <v>1</v>
      </c>
      <c r="E1935" s="3" t="str">
        <f>"2170731261"</f>
        <v>2170731261</v>
      </c>
      <c r="F1935" s="3" t="s">
        <v>17</v>
      </c>
      <c r="G1935" s="3" t="s">
        <v>18</v>
      </c>
      <c r="H1935" s="3" t="s">
        <v>70</v>
      </c>
      <c r="I1935" s="3" t="s">
        <v>507</v>
      </c>
      <c r="J1935" s="3" t="s">
        <v>821</v>
      </c>
      <c r="K1935" s="3" t="s">
        <v>1660</v>
      </c>
      <c r="L1935" s="4">
        <v>0.42083333333333334</v>
      </c>
      <c r="M1935" s="3" t="s">
        <v>1687</v>
      </c>
      <c r="N1935" s="3" t="s">
        <v>24</v>
      </c>
      <c r="O1935" s="3" t="s">
        <v>25</v>
      </c>
    </row>
    <row r="1936" spans="1:15">
      <c r="A1936" s="3" t="s">
        <v>15</v>
      </c>
      <c r="B1936" s="3" t="str">
        <f>"FES1162741928"</f>
        <v>FES1162741928</v>
      </c>
      <c r="C1936" s="3" t="s">
        <v>1572</v>
      </c>
      <c r="D1936" s="3">
        <v>1</v>
      </c>
      <c r="E1936" s="3" t="str">
        <f>"2170733409"</f>
        <v>2170733409</v>
      </c>
      <c r="F1936" s="3" t="s">
        <v>17</v>
      </c>
      <c r="G1936" s="3" t="s">
        <v>18</v>
      </c>
      <c r="H1936" s="3" t="s">
        <v>19</v>
      </c>
      <c r="I1936" s="3" t="s">
        <v>20</v>
      </c>
      <c r="J1936" s="3" t="s">
        <v>417</v>
      </c>
      <c r="K1936" s="3" t="s">
        <v>1660</v>
      </c>
      <c r="L1936" s="4">
        <v>0.4368055555555555</v>
      </c>
      <c r="M1936" s="3" t="s">
        <v>418</v>
      </c>
      <c r="N1936" s="3" t="s">
        <v>24</v>
      </c>
      <c r="O1936" s="3" t="s">
        <v>25</v>
      </c>
    </row>
    <row r="1937" spans="1:15">
      <c r="A1937" s="3" t="s">
        <v>15</v>
      </c>
      <c r="B1937" s="3" t="str">
        <f>"FES1162741924"</f>
        <v>FES1162741924</v>
      </c>
      <c r="C1937" s="3" t="s">
        <v>1572</v>
      </c>
      <c r="D1937" s="3">
        <v>1</v>
      </c>
      <c r="E1937" s="3" t="str">
        <f>"2170733396"</f>
        <v>2170733396</v>
      </c>
      <c r="F1937" s="3" t="s">
        <v>17</v>
      </c>
      <c r="G1937" s="3" t="s">
        <v>18</v>
      </c>
      <c r="H1937" s="3" t="s">
        <v>19</v>
      </c>
      <c r="I1937" s="3" t="s">
        <v>20</v>
      </c>
      <c r="J1937" s="3" t="s">
        <v>1141</v>
      </c>
      <c r="K1937" s="3" t="s">
        <v>1660</v>
      </c>
      <c r="L1937" s="4">
        <v>0.3347222222222222</v>
      </c>
      <c r="M1937" s="3" t="s">
        <v>1688</v>
      </c>
      <c r="N1937" s="3" t="s">
        <v>24</v>
      </c>
      <c r="O1937" s="3" t="s">
        <v>25</v>
      </c>
    </row>
    <row r="1938" spans="1:15">
      <c r="A1938" s="3" t="s">
        <v>15</v>
      </c>
      <c r="B1938" s="3" t="str">
        <f>"FES1162741894"</f>
        <v>FES1162741894</v>
      </c>
      <c r="C1938" s="3" t="s">
        <v>1572</v>
      </c>
      <c r="D1938" s="3">
        <v>1</v>
      </c>
      <c r="E1938" s="3" t="str">
        <f>"2170731782"</f>
        <v>2170731782</v>
      </c>
      <c r="F1938" s="3" t="s">
        <v>17</v>
      </c>
      <c r="G1938" s="3" t="s">
        <v>18</v>
      </c>
      <c r="H1938" s="3" t="s">
        <v>19</v>
      </c>
      <c r="I1938" s="3" t="s">
        <v>51</v>
      </c>
      <c r="J1938" s="3" t="s">
        <v>64</v>
      </c>
      <c r="K1938" s="3" t="s">
        <v>1660</v>
      </c>
      <c r="L1938" s="4">
        <v>0.42708333333333331</v>
      </c>
      <c r="M1938" s="3" t="s">
        <v>963</v>
      </c>
      <c r="N1938" s="3" t="s">
        <v>24</v>
      </c>
      <c r="O1938" s="3" t="s">
        <v>25</v>
      </c>
    </row>
    <row r="1939" spans="1:15">
      <c r="A1939" s="3" t="s">
        <v>15</v>
      </c>
      <c r="B1939" s="3" t="str">
        <f>"FES1162741890"</f>
        <v>FES1162741890</v>
      </c>
      <c r="C1939" s="3" t="s">
        <v>1572</v>
      </c>
      <c r="D1939" s="3">
        <v>1</v>
      </c>
      <c r="E1939" s="3" t="str">
        <f>"2170731549"</f>
        <v>2170731549</v>
      </c>
      <c r="F1939" s="3" t="s">
        <v>17</v>
      </c>
      <c r="G1939" s="3" t="s">
        <v>18</v>
      </c>
      <c r="H1939" s="3" t="s">
        <v>19</v>
      </c>
      <c r="I1939" s="3" t="s">
        <v>51</v>
      </c>
      <c r="J1939" s="3" t="s">
        <v>209</v>
      </c>
      <c r="K1939" s="3" t="s">
        <v>1660</v>
      </c>
      <c r="L1939" s="4">
        <v>0.36319444444444443</v>
      </c>
      <c r="M1939" s="3" t="s">
        <v>235</v>
      </c>
      <c r="N1939" s="3" t="s">
        <v>24</v>
      </c>
      <c r="O1939" s="3" t="s">
        <v>25</v>
      </c>
    </row>
    <row r="1940" spans="1:15">
      <c r="A1940" s="3" t="s">
        <v>15</v>
      </c>
      <c r="B1940" s="3" t="str">
        <f>"FES1162741900"</f>
        <v>FES1162741900</v>
      </c>
      <c r="C1940" s="3" t="s">
        <v>1572</v>
      </c>
      <c r="D1940" s="3">
        <v>1</v>
      </c>
      <c r="E1940" s="3" t="str">
        <f>"2170732603"</f>
        <v>2170732603</v>
      </c>
      <c r="F1940" s="3" t="s">
        <v>17</v>
      </c>
      <c r="G1940" s="3" t="s">
        <v>18</v>
      </c>
      <c r="H1940" s="3" t="s">
        <v>19</v>
      </c>
      <c r="I1940" s="3" t="s">
        <v>20</v>
      </c>
      <c r="J1940" s="3" t="s">
        <v>104</v>
      </c>
      <c r="K1940" s="3" t="s">
        <v>1660</v>
      </c>
      <c r="L1940" s="4">
        <v>0.4368055555555555</v>
      </c>
      <c r="M1940" s="3" t="s">
        <v>105</v>
      </c>
      <c r="N1940" s="3" t="s">
        <v>24</v>
      </c>
      <c r="O1940" s="3" t="s">
        <v>25</v>
      </c>
    </row>
    <row r="1941" spans="1:15">
      <c r="A1941" s="3" t="s">
        <v>15</v>
      </c>
      <c r="B1941" s="3" t="str">
        <f>"FES1162741919"</f>
        <v>FES1162741919</v>
      </c>
      <c r="C1941" s="3" t="s">
        <v>1572</v>
      </c>
      <c r="D1941" s="3">
        <v>1</v>
      </c>
      <c r="E1941" s="3" t="str">
        <f>"2170733384"</f>
        <v>2170733384</v>
      </c>
      <c r="F1941" s="3" t="s">
        <v>17</v>
      </c>
      <c r="G1941" s="3" t="s">
        <v>18</v>
      </c>
      <c r="H1941" s="3" t="s">
        <v>19</v>
      </c>
      <c r="I1941" s="3" t="s">
        <v>277</v>
      </c>
      <c r="J1941" s="3" t="s">
        <v>1689</v>
      </c>
      <c r="K1941" s="3" t="s">
        <v>1660</v>
      </c>
      <c r="L1941" s="4">
        <v>0.40486111111111112</v>
      </c>
      <c r="M1941" s="3" t="s">
        <v>1690</v>
      </c>
      <c r="N1941" s="3" t="s">
        <v>24</v>
      </c>
      <c r="O1941" s="3" t="s">
        <v>25</v>
      </c>
    </row>
    <row r="1942" spans="1:15">
      <c r="A1942" s="3" t="s">
        <v>15</v>
      </c>
      <c r="B1942" s="3" t="str">
        <f>"FES1162741939"</f>
        <v>FES1162741939</v>
      </c>
      <c r="C1942" s="3" t="s">
        <v>1572</v>
      </c>
      <c r="D1942" s="3">
        <v>1</v>
      </c>
      <c r="E1942" s="3" t="str">
        <f>"2170733433"</f>
        <v>2170733433</v>
      </c>
      <c r="F1942" s="3" t="s">
        <v>17</v>
      </c>
      <c r="G1942" s="3" t="s">
        <v>18</v>
      </c>
      <c r="H1942" s="3" t="s">
        <v>19</v>
      </c>
      <c r="I1942" s="3" t="s">
        <v>277</v>
      </c>
      <c r="J1942" s="3" t="s">
        <v>549</v>
      </c>
      <c r="K1942" s="3" t="s">
        <v>1660</v>
      </c>
      <c r="L1942" s="4">
        <v>0.42291666666666666</v>
      </c>
      <c r="M1942" s="3" t="s">
        <v>1691</v>
      </c>
      <c r="N1942" s="3" t="s">
        <v>24</v>
      </c>
      <c r="O1942" s="3" t="s">
        <v>25</v>
      </c>
    </row>
    <row r="1943" spans="1:15">
      <c r="A1943" s="3" t="s">
        <v>15</v>
      </c>
      <c r="B1943" s="3" t="str">
        <f>"FES1162741882"</f>
        <v>FES1162741882</v>
      </c>
      <c r="C1943" s="3" t="s">
        <v>1572</v>
      </c>
      <c r="D1943" s="3">
        <v>1</v>
      </c>
      <c r="E1943" s="3" t="str">
        <f>"2170731401"</f>
        <v>2170731401</v>
      </c>
      <c r="F1943" s="3" t="s">
        <v>17</v>
      </c>
      <c r="G1943" s="3" t="s">
        <v>18</v>
      </c>
      <c r="H1943" s="3" t="s">
        <v>19</v>
      </c>
      <c r="I1943" s="3" t="s">
        <v>277</v>
      </c>
      <c r="J1943" s="3" t="s">
        <v>549</v>
      </c>
      <c r="K1943" s="3" t="s">
        <v>1660</v>
      </c>
      <c r="L1943" s="4">
        <v>0.41319444444444442</v>
      </c>
      <c r="M1943" s="3" t="s">
        <v>1692</v>
      </c>
      <c r="N1943" s="3" t="s">
        <v>24</v>
      </c>
      <c r="O1943" s="3" t="s">
        <v>25</v>
      </c>
    </row>
    <row r="1944" spans="1:15">
      <c r="A1944" s="3" t="s">
        <v>15</v>
      </c>
      <c r="B1944" s="3" t="str">
        <f>"FES1162741923"</f>
        <v>FES1162741923</v>
      </c>
      <c r="C1944" s="3" t="s">
        <v>1572</v>
      </c>
      <c r="D1944" s="3">
        <v>1</v>
      </c>
      <c r="E1944" s="3" t="str">
        <f>"2170733394"</f>
        <v>2170733394</v>
      </c>
      <c r="F1944" s="3" t="s">
        <v>17</v>
      </c>
      <c r="G1944" s="3" t="s">
        <v>18</v>
      </c>
      <c r="H1944" s="3" t="s">
        <v>19</v>
      </c>
      <c r="I1944" s="3" t="s">
        <v>1693</v>
      </c>
      <c r="J1944" s="3" t="s">
        <v>1694</v>
      </c>
      <c r="K1944" s="3" t="s">
        <v>1660</v>
      </c>
      <c r="L1944" s="4">
        <v>0.3430555555555555</v>
      </c>
      <c r="M1944" s="3" t="s">
        <v>1695</v>
      </c>
      <c r="N1944" s="3" t="s">
        <v>24</v>
      </c>
      <c r="O1944" s="3" t="s">
        <v>25</v>
      </c>
    </row>
    <row r="1945" spans="1:15">
      <c r="A1945" s="3" t="s">
        <v>15</v>
      </c>
      <c r="B1945" s="3" t="str">
        <f>"FES1162741884"</f>
        <v>FES1162741884</v>
      </c>
      <c r="C1945" s="3" t="s">
        <v>1572</v>
      </c>
      <c r="D1945" s="3">
        <v>1</v>
      </c>
      <c r="E1945" s="3" t="str">
        <f>"2170731440"</f>
        <v>2170731440</v>
      </c>
      <c r="F1945" s="3" t="s">
        <v>17</v>
      </c>
      <c r="G1945" s="3" t="s">
        <v>18</v>
      </c>
      <c r="H1945" s="3" t="s">
        <v>19</v>
      </c>
      <c r="I1945" s="3" t="s">
        <v>825</v>
      </c>
      <c r="J1945" s="3" t="s">
        <v>1270</v>
      </c>
      <c r="K1945" s="3" t="s">
        <v>1660</v>
      </c>
      <c r="L1945" s="4">
        <v>0.64513888888888882</v>
      </c>
      <c r="M1945" s="3" t="s">
        <v>1696</v>
      </c>
      <c r="N1945" s="3" t="s">
        <v>24</v>
      </c>
      <c r="O1945" s="3" t="s">
        <v>25</v>
      </c>
    </row>
    <row r="1946" spans="1:15">
      <c r="A1946" s="3" t="s">
        <v>15</v>
      </c>
      <c r="B1946" s="3" t="str">
        <f>"FES1162741896"</f>
        <v>FES1162741896</v>
      </c>
      <c r="C1946" s="3" t="s">
        <v>1572</v>
      </c>
      <c r="D1946" s="3">
        <v>1</v>
      </c>
      <c r="E1946" s="3" t="str">
        <f>"2170732201"</f>
        <v>2170732201</v>
      </c>
      <c r="F1946" s="3" t="s">
        <v>17</v>
      </c>
      <c r="G1946" s="3" t="s">
        <v>18</v>
      </c>
      <c r="H1946" s="3" t="s">
        <v>100</v>
      </c>
      <c r="I1946" s="3" t="s">
        <v>117</v>
      </c>
      <c r="J1946" s="3" t="s">
        <v>784</v>
      </c>
      <c r="K1946" s="3" t="s">
        <v>1660</v>
      </c>
      <c r="L1946" s="4">
        <v>0.50694444444444442</v>
      </c>
      <c r="M1946" s="3" t="s">
        <v>785</v>
      </c>
      <c r="N1946" s="3" t="s">
        <v>24</v>
      </c>
      <c r="O1946" s="3" t="s">
        <v>25</v>
      </c>
    </row>
    <row r="1947" spans="1:15">
      <c r="A1947" s="3" t="s">
        <v>15</v>
      </c>
      <c r="B1947" s="3" t="str">
        <f>"FES1162741942"</f>
        <v>FES1162741942</v>
      </c>
      <c r="C1947" s="3" t="s">
        <v>1572</v>
      </c>
      <c r="D1947" s="3">
        <v>1</v>
      </c>
      <c r="E1947" s="3" t="str">
        <f>"2170733408"</f>
        <v>2170733408</v>
      </c>
      <c r="F1947" s="3" t="s">
        <v>17</v>
      </c>
      <c r="G1947" s="3" t="s">
        <v>18</v>
      </c>
      <c r="H1947" s="3" t="s">
        <v>100</v>
      </c>
      <c r="I1947" s="3" t="s">
        <v>101</v>
      </c>
      <c r="J1947" s="3" t="s">
        <v>142</v>
      </c>
      <c r="K1947" s="3" t="s">
        <v>1660</v>
      </c>
      <c r="L1947" s="4">
        <v>0.33055555555555555</v>
      </c>
      <c r="M1947" s="3" t="s">
        <v>1169</v>
      </c>
      <c r="N1947" s="3" t="s">
        <v>24</v>
      </c>
      <c r="O1947" s="3" t="s">
        <v>25</v>
      </c>
    </row>
    <row r="1948" spans="1:15">
      <c r="A1948" s="3" t="s">
        <v>15</v>
      </c>
      <c r="B1948" s="3" t="str">
        <f>"FES1162741980"</f>
        <v>FES1162741980</v>
      </c>
      <c r="C1948" s="3" t="s">
        <v>1572</v>
      </c>
      <c r="D1948" s="3">
        <v>1</v>
      </c>
      <c r="E1948" s="3" t="str">
        <f>"2170733472"</f>
        <v>2170733472</v>
      </c>
      <c r="F1948" s="3" t="s">
        <v>17</v>
      </c>
      <c r="G1948" s="3" t="s">
        <v>18</v>
      </c>
      <c r="H1948" s="3" t="s">
        <v>19</v>
      </c>
      <c r="I1948" s="3" t="s">
        <v>51</v>
      </c>
      <c r="J1948" s="3" t="s">
        <v>52</v>
      </c>
      <c r="K1948" s="3" t="s">
        <v>1660</v>
      </c>
      <c r="L1948" s="4">
        <v>0.32500000000000001</v>
      </c>
      <c r="M1948" s="3" t="s">
        <v>53</v>
      </c>
      <c r="N1948" s="3" t="s">
        <v>24</v>
      </c>
      <c r="O1948" s="3" t="s">
        <v>25</v>
      </c>
    </row>
    <row r="1949" spans="1:15">
      <c r="A1949" s="3" t="s">
        <v>15</v>
      </c>
      <c r="B1949" s="3" t="str">
        <f>"FES1162741922"</f>
        <v>FES1162741922</v>
      </c>
      <c r="C1949" s="3" t="s">
        <v>1572</v>
      </c>
      <c r="D1949" s="3">
        <v>1</v>
      </c>
      <c r="E1949" s="3" t="str">
        <f>"2170733393"</f>
        <v>2170733393</v>
      </c>
      <c r="F1949" s="3" t="s">
        <v>17</v>
      </c>
      <c r="G1949" s="3" t="s">
        <v>18</v>
      </c>
      <c r="H1949" s="3" t="s">
        <v>36</v>
      </c>
      <c r="I1949" s="3" t="s">
        <v>37</v>
      </c>
      <c r="J1949" s="3" t="s">
        <v>429</v>
      </c>
      <c r="K1949" s="3" t="s">
        <v>1660</v>
      </c>
      <c r="L1949" s="4">
        <v>0.40138888888888885</v>
      </c>
      <c r="M1949" s="3" t="s">
        <v>1697</v>
      </c>
      <c r="N1949" s="3" t="s">
        <v>24</v>
      </c>
      <c r="O1949" s="3" t="s">
        <v>25</v>
      </c>
    </row>
    <row r="1950" spans="1:15">
      <c r="A1950" s="3" t="s">
        <v>15</v>
      </c>
      <c r="B1950" s="3" t="str">
        <f>"FES1162741938"</f>
        <v>FES1162741938</v>
      </c>
      <c r="C1950" s="3" t="s">
        <v>1572</v>
      </c>
      <c r="D1950" s="3">
        <v>1</v>
      </c>
      <c r="E1950" s="3" t="str">
        <f>"2170733432"</f>
        <v>2170733432</v>
      </c>
      <c r="F1950" s="3" t="s">
        <v>17</v>
      </c>
      <c r="G1950" s="3" t="s">
        <v>18</v>
      </c>
      <c r="H1950" s="3" t="s">
        <v>36</v>
      </c>
      <c r="I1950" s="3" t="s">
        <v>37</v>
      </c>
      <c r="J1950" s="3" t="s">
        <v>650</v>
      </c>
      <c r="K1950" s="3" t="s">
        <v>1660</v>
      </c>
      <c r="L1950" s="4">
        <v>0.37986111111111115</v>
      </c>
      <c r="M1950" s="3" t="s">
        <v>1679</v>
      </c>
      <c r="N1950" s="3" t="s">
        <v>24</v>
      </c>
      <c r="O1950" s="3" t="s">
        <v>25</v>
      </c>
    </row>
    <row r="1951" spans="1:15">
      <c r="A1951" s="3" t="s">
        <v>15</v>
      </c>
      <c r="B1951" s="3" t="str">
        <f>"FES1162741937"</f>
        <v>FES1162741937</v>
      </c>
      <c r="C1951" s="3" t="s">
        <v>1572</v>
      </c>
      <c r="D1951" s="3">
        <v>1</v>
      </c>
      <c r="E1951" s="3" t="str">
        <f>"2170733431"</f>
        <v>2170733431</v>
      </c>
      <c r="F1951" s="3" t="s">
        <v>17</v>
      </c>
      <c r="G1951" s="3" t="s">
        <v>18</v>
      </c>
      <c r="H1951" s="3" t="s">
        <v>36</v>
      </c>
      <c r="I1951" s="3" t="s">
        <v>37</v>
      </c>
      <c r="J1951" s="3" t="s">
        <v>650</v>
      </c>
      <c r="K1951" s="3" t="s">
        <v>1660</v>
      </c>
      <c r="L1951" s="4">
        <v>0.37986111111111115</v>
      </c>
      <c r="M1951" s="3" t="s">
        <v>1679</v>
      </c>
      <c r="N1951" s="3" t="s">
        <v>24</v>
      </c>
      <c r="O1951" s="3" t="s">
        <v>25</v>
      </c>
    </row>
    <row r="1952" spans="1:15">
      <c r="A1952" s="3" t="s">
        <v>15</v>
      </c>
      <c r="B1952" s="3" t="str">
        <f>"FES1162741974"</f>
        <v>FES1162741974</v>
      </c>
      <c r="C1952" s="3" t="s">
        <v>1572</v>
      </c>
      <c r="D1952" s="3">
        <v>1</v>
      </c>
      <c r="E1952" s="3" t="str">
        <f>"2170733466"</f>
        <v>2170733466</v>
      </c>
      <c r="F1952" s="3" t="s">
        <v>17</v>
      </c>
      <c r="G1952" s="3" t="s">
        <v>18</v>
      </c>
      <c r="H1952" s="3" t="s">
        <v>534</v>
      </c>
      <c r="I1952" s="3" t="s">
        <v>535</v>
      </c>
      <c r="J1952" s="3" t="s">
        <v>536</v>
      </c>
      <c r="K1952" s="3" t="s">
        <v>1660</v>
      </c>
      <c r="L1952" s="4">
        <v>0.39583333333333331</v>
      </c>
      <c r="M1952" s="3" t="s">
        <v>232</v>
      </c>
      <c r="N1952" s="3" t="s">
        <v>24</v>
      </c>
      <c r="O1952" s="3" t="s">
        <v>25</v>
      </c>
    </row>
    <row r="1953" spans="1:15">
      <c r="A1953" s="3" t="s">
        <v>15</v>
      </c>
      <c r="B1953" s="3" t="str">
        <f>"FES1162741916"</f>
        <v>FES1162741916</v>
      </c>
      <c r="C1953" s="3" t="s">
        <v>1572</v>
      </c>
      <c r="D1953" s="3">
        <v>1</v>
      </c>
      <c r="E1953" s="3" t="str">
        <f>"2170733379"</f>
        <v>2170733379</v>
      </c>
      <c r="F1953" s="3" t="s">
        <v>17</v>
      </c>
      <c r="G1953" s="3" t="s">
        <v>18</v>
      </c>
      <c r="H1953" s="3" t="s">
        <v>36</v>
      </c>
      <c r="I1953" s="3" t="s">
        <v>37</v>
      </c>
      <c r="J1953" s="3" t="s">
        <v>54</v>
      </c>
      <c r="K1953" s="3" t="s">
        <v>1660</v>
      </c>
      <c r="L1953" s="4">
        <v>0.3979166666666667</v>
      </c>
      <c r="M1953" s="3" t="s">
        <v>55</v>
      </c>
      <c r="N1953" s="3" t="s">
        <v>24</v>
      </c>
      <c r="O1953" s="3" t="s">
        <v>25</v>
      </c>
    </row>
    <row r="1954" spans="1:15">
      <c r="A1954" s="3" t="s">
        <v>15</v>
      </c>
      <c r="B1954" s="3" t="str">
        <f>"FES1162741963"</f>
        <v>FES1162741963</v>
      </c>
      <c r="C1954" s="3" t="s">
        <v>1572</v>
      </c>
      <c r="D1954" s="3">
        <v>1</v>
      </c>
      <c r="E1954" s="3" t="str">
        <f>"2170733456"</f>
        <v>2170733456</v>
      </c>
      <c r="F1954" s="3" t="s">
        <v>17</v>
      </c>
      <c r="G1954" s="3" t="s">
        <v>18</v>
      </c>
      <c r="H1954" s="3" t="s">
        <v>36</v>
      </c>
      <c r="I1954" s="3" t="s">
        <v>37</v>
      </c>
      <c r="J1954" s="3" t="s">
        <v>650</v>
      </c>
      <c r="K1954" s="3" t="s">
        <v>1660</v>
      </c>
      <c r="L1954" s="4">
        <v>0.37986111111111115</v>
      </c>
      <c r="M1954" s="3" t="s">
        <v>1679</v>
      </c>
      <c r="N1954" s="3" t="s">
        <v>24</v>
      </c>
      <c r="O1954" s="3" t="s">
        <v>25</v>
      </c>
    </row>
    <row r="1955" spans="1:15">
      <c r="A1955" s="3" t="s">
        <v>15</v>
      </c>
      <c r="B1955" s="3" t="str">
        <f>"FES1162741891"</f>
        <v>FES1162741891</v>
      </c>
      <c r="C1955" s="3" t="s">
        <v>1572</v>
      </c>
      <c r="D1955" s="3">
        <v>1</v>
      </c>
      <c r="E1955" s="3" t="str">
        <f>"2170731551"</f>
        <v>2170731551</v>
      </c>
      <c r="F1955" s="3" t="s">
        <v>17</v>
      </c>
      <c r="G1955" s="3" t="s">
        <v>18</v>
      </c>
      <c r="H1955" s="3" t="s">
        <v>36</v>
      </c>
      <c r="I1955" s="3" t="s">
        <v>174</v>
      </c>
      <c r="J1955" s="3" t="s">
        <v>175</v>
      </c>
      <c r="K1955" s="3" t="s">
        <v>1660</v>
      </c>
      <c r="L1955" s="4">
        <v>0.33680555555555558</v>
      </c>
      <c r="M1955" s="3" t="s">
        <v>1698</v>
      </c>
      <c r="N1955" s="3" t="s">
        <v>24</v>
      </c>
      <c r="O1955" s="3" t="s">
        <v>25</v>
      </c>
    </row>
    <row r="1956" spans="1:15">
      <c r="A1956" s="3" t="s">
        <v>15</v>
      </c>
      <c r="B1956" s="3" t="str">
        <f>"FES1162741978"</f>
        <v>FES1162741978</v>
      </c>
      <c r="C1956" s="3" t="s">
        <v>1572</v>
      </c>
      <c r="D1956" s="3">
        <v>1</v>
      </c>
      <c r="E1956" s="3" t="str">
        <f>"2170733470"</f>
        <v>2170733470</v>
      </c>
      <c r="F1956" s="3" t="s">
        <v>17</v>
      </c>
      <c r="G1956" s="3" t="s">
        <v>18</v>
      </c>
      <c r="H1956" s="3" t="s">
        <v>70</v>
      </c>
      <c r="I1956" s="3" t="s">
        <v>71</v>
      </c>
      <c r="J1956" s="3" t="s">
        <v>252</v>
      </c>
      <c r="K1956" s="3" t="s">
        <v>1660</v>
      </c>
      <c r="L1956" s="4">
        <v>0.33333333333333331</v>
      </c>
      <c r="M1956" s="3" t="s">
        <v>394</v>
      </c>
      <c r="N1956" s="3" t="s">
        <v>24</v>
      </c>
      <c r="O1956" s="3" t="s">
        <v>25</v>
      </c>
    </row>
    <row r="1957" spans="1:15">
      <c r="A1957" s="3" t="s">
        <v>15</v>
      </c>
      <c r="B1957" s="3" t="str">
        <f>"FES1162741902"</f>
        <v>FES1162741902</v>
      </c>
      <c r="C1957" s="3" t="s">
        <v>1572</v>
      </c>
      <c r="D1957" s="3">
        <v>1</v>
      </c>
      <c r="E1957" s="3" t="str">
        <f>"2170732800"</f>
        <v>2170732800</v>
      </c>
      <c r="F1957" s="3" t="s">
        <v>17</v>
      </c>
      <c r="G1957" s="3" t="s">
        <v>18</v>
      </c>
      <c r="H1957" s="3" t="s">
        <v>18</v>
      </c>
      <c r="I1957" s="3" t="s">
        <v>29</v>
      </c>
      <c r="J1957" s="3" t="s">
        <v>1375</v>
      </c>
      <c r="K1957" s="3" t="s">
        <v>1660</v>
      </c>
      <c r="L1957" s="4">
        <v>0.31805555555555554</v>
      </c>
      <c r="M1957" s="3" t="s">
        <v>1376</v>
      </c>
      <c r="N1957" s="3" t="s">
        <v>24</v>
      </c>
      <c r="O1957" s="3" t="s">
        <v>25</v>
      </c>
    </row>
    <row r="1958" spans="1:15">
      <c r="A1958" s="3" t="s">
        <v>15</v>
      </c>
      <c r="B1958" s="3" t="str">
        <f>"FES1162741724"</f>
        <v>FES1162741724</v>
      </c>
      <c r="C1958" s="3" t="s">
        <v>1572</v>
      </c>
      <c r="D1958" s="3">
        <v>1</v>
      </c>
      <c r="E1958" s="3" t="str">
        <f>"2170731115"</f>
        <v>2170731115</v>
      </c>
      <c r="F1958" s="3" t="s">
        <v>17</v>
      </c>
      <c r="G1958" s="3" t="s">
        <v>18</v>
      </c>
      <c r="H1958" s="3" t="s">
        <v>18</v>
      </c>
      <c r="I1958" s="3" t="s">
        <v>171</v>
      </c>
      <c r="J1958" s="3" t="s">
        <v>197</v>
      </c>
      <c r="K1958" s="3" t="s">
        <v>1660</v>
      </c>
      <c r="L1958" s="4">
        <v>0.37777777777777777</v>
      </c>
      <c r="M1958" s="3" t="s">
        <v>1138</v>
      </c>
      <c r="N1958" s="3" t="s">
        <v>24</v>
      </c>
      <c r="O1958" s="3" t="s">
        <v>25</v>
      </c>
    </row>
    <row r="1959" spans="1:15">
      <c r="A1959" s="3" t="s">
        <v>15</v>
      </c>
      <c r="B1959" s="3" t="str">
        <f>"FES1162741972"</f>
        <v>FES1162741972</v>
      </c>
      <c r="C1959" s="3" t="s">
        <v>1572</v>
      </c>
      <c r="D1959" s="3">
        <v>1</v>
      </c>
      <c r="E1959" s="3" t="str">
        <f>"2170733464"</f>
        <v>2170733464</v>
      </c>
      <c r="F1959" s="3" t="s">
        <v>17</v>
      </c>
      <c r="G1959" s="3" t="s">
        <v>18</v>
      </c>
      <c r="H1959" s="3" t="s">
        <v>36</v>
      </c>
      <c r="I1959" s="3" t="s">
        <v>37</v>
      </c>
      <c r="J1959" s="3" t="s">
        <v>1699</v>
      </c>
      <c r="K1959" s="3" t="s">
        <v>1660</v>
      </c>
      <c r="L1959" s="4">
        <v>0.43124999999999997</v>
      </c>
      <c r="M1959" s="3" t="s">
        <v>1324</v>
      </c>
      <c r="N1959" s="3" t="s">
        <v>24</v>
      </c>
      <c r="O1959" s="3" t="s">
        <v>25</v>
      </c>
    </row>
    <row r="1960" spans="1:15">
      <c r="A1960" s="3" t="s">
        <v>15</v>
      </c>
      <c r="B1960" s="3" t="str">
        <f>"FES1162741723"</f>
        <v>FES1162741723</v>
      </c>
      <c r="C1960" s="3" t="s">
        <v>1572</v>
      </c>
      <c r="D1960" s="3">
        <v>1</v>
      </c>
      <c r="E1960" s="3" t="str">
        <f>"2170731481"</f>
        <v>2170731481</v>
      </c>
      <c r="F1960" s="3" t="s">
        <v>528</v>
      </c>
      <c r="G1960" s="3" t="s">
        <v>948</v>
      </c>
      <c r="H1960" s="3" t="s">
        <v>948</v>
      </c>
      <c r="I1960" s="3" t="s">
        <v>171</v>
      </c>
      <c r="J1960" s="3" t="s">
        <v>300</v>
      </c>
      <c r="K1960" s="3" t="s">
        <v>1660</v>
      </c>
      <c r="L1960" s="4">
        <v>0.35000000000000003</v>
      </c>
      <c r="M1960" s="3" t="s">
        <v>301</v>
      </c>
      <c r="N1960" s="3" t="s">
        <v>24</v>
      </c>
      <c r="O1960" s="3" t="s">
        <v>25</v>
      </c>
    </row>
    <row r="1961" spans="1:15">
      <c r="A1961" s="3" t="s">
        <v>15</v>
      </c>
      <c r="B1961" s="3" t="str">
        <f>"FES1162741637"</f>
        <v>FES1162741637</v>
      </c>
      <c r="C1961" s="3" t="s">
        <v>1572</v>
      </c>
      <c r="D1961" s="3">
        <v>1</v>
      </c>
      <c r="E1961" s="3" t="str">
        <f>"2170733169"</f>
        <v>2170733169</v>
      </c>
      <c r="F1961" s="3" t="s">
        <v>17</v>
      </c>
      <c r="G1961" s="3" t="s">
        <v>18</v>
      </c>
      <c r="H1961" s="3" t="s">
        <v>18</v>
      </c>
      <c r="I1961" s="3" t="s">
        <v>29</v>
      </c>
      <c r="J1961" s="3" t="s">
        <v>543</v>
      </c>
      <c r="K1961" s="3" t="s">
        <v>1666</v>
      </c>
      <c r="L1961" s="4">
        <v>0.39513888888888887</v>
      </c>
      <c r="M1961" s="3" t="s">
        <v>160</v>
      </c>
      <c r="N1961" s="3" t="s">
        <v>24</v>
      </c>
      <c r="O1961" s="3" t="s">
        <v>25</v>
      </c>
    </row>
    <row r="1962" spans="1:15">
      <c r="A1962" s="3" t="s">
        <v>15</v>
      </c>
      <c r="B1962" s="3" t="str">
        <f>"FES1162741650"</f>
        <v>FES1162741650</v>
      </c>
      <c r="C1962" s="3" t="s">
        <v>1572</v>
      </c>
      <c r="D1962" s="3">
        <v>1</v>
      </c>
      <c r="E1962" s="3" t="str">
        <f>"2170733184"</f>
        <v>2170733184</v>
      </c>
      <c r="F1962" s="3" t="s">
        <v>17</v>
      </c>
      <c r="G1962" s="3" t="s">
        <v>18</v>
      </c>
      <c r="H1962" s="3" t="s">
        <v>18</v>
      </c>
      <c r="I1962" s="3" t="s">
        <v>151</v>
      </c>
      <c r="J1962" s="3" t="s">
        <v>1532</v>
      </c>
      <c r="K1962" s="3" t="s">
        <v>1660</v>
      </c>
      <c r="L1962" s="4">
        <v>0.43472222222222223</v>
      </c>
      <c r="M1962" s="3" t="s">
        <v>247</v>
      </c>
      <c r="N1962" s="3" t="s">
        <v>24</v>
      </c>
      <c r="O1962" s="3" t="s">
        <v>25</v>
      </c>
    </row>
    <row r="1963" spans="1:15">
      <c r="A1963" s="3" t="s">
        <v>15</v>
      </c>
      <c r="B1963" s="3" t="str">
        <f>"FES1162741849"</f>
        <v>FES1162741849</v>
      </c>
      <c r="C1963" s="3" t="s">
        <v>1572</v>
      </c>
      <c r="D1963" s="3">
        <v>1</v>
      </c>
      <c r="E1963" s="3" t="str">
        <f>"2170733360"</f>
        <v>2170733360</v>
      </c>
      <c r="F1963" s="3" t="s">
        <v>17</v>
      </c>
      <c r="G1963" s="3" t="s">
        <v>18</v>
      </c>
      <c r="H1963" s="3" t="s">
        <v>18</v>
      </c>
      <c r="I1963" s="3" t="s">
        <v>171</v>
      </c>
      <c r="J1963" s="3" t="s">
        <v>1700</v>
      </c>
      <c r="K1963" s="3" t="s">
        <v>1660</v>
      </c>
      <c r="L1963" s="4">
        <v>0.42708333333333331</v>
      </c>
      <c r="M1963" s="3" t="s">
        <v>1701</v>
      </c>
      <c r="N1963" s="3" t="s">
        <v>24</v>
      </c>
      <c r="O1963" s="3" t="s">
        <v>25</v>
      </c>
    </row>
    <row r="1964" spans="1:15">
      <c r="A1964" s="3" t="s">
        <v>15</v>
      </c>
      <c r="B1964" s="3" t="str">
        <f>"FES1162741655"</f>
        <v>FES1162741655</v>
      </c>
      <c r="C1964" s="3" t="s">
        <v>1572</v>
      </c>
      <c r="D1964" s="3">
        <v>1</v>
      </c>
      <c r="E1964" s="3" t="str">
        <f>"2170728249"</f>
        <v>2170728249</v>
      </c>
      <c r="F1964" s="3" t="s">
        <v>17</v>
      </c>
      <c r="G1964" s="3" t="s">
        <v>18</v>
      </c>
      <c r="H1964" s="3" t="s">
        <v>18</v>
      </c>
      <c r="I1964" s="3" t="s">
        <v>151</v>
      </c>
      <c r="J1964" s="3" t="s">
        <v>1702</v>
      </c>
      <c r="K1964" s="3" t="s">
        <v>1660</v>
      </c>
      <c r="L1964" s="4">
        <v>0.40347222222222223</v>
      </c>
      <c r="M1964" s="3" t="s">
        <v>247</v>
      </c>
      <c r="N1964" s="3" t="s">
        <v>24</v>
      </c>
      <c r="O1964" s="3" t="s">
        <v>25</v>
      </c>
    </row>
    <row r="1965" spans="1:15">
      <c r="A1965" s="3" t="s">
        <v>15</v>
      </c>
      <c r="B1965" s="3" t="str">
        <f>"FES1162741756"</f>
        <v>FES1162741756</v>
      </c>
      <c r="C1965" s="3" t="s">
        <v>1572</v>
      </c>
      <c r="D1965" s="3">
        <v>1</v>
      </c>
      <c r="E1965" s="3" t="str">
        <f>"2170731119"</f>
        <v>2170731119</v>
      </c>
      <c r="F1965" s="3" t="s">
        <v>17</v>
      </c>
      <c r="G1965" s="3" t="s">
        <v>18</v>
      </c>
      <c r="H1965" s="3" t="s">
        <v>18</v>
      </c>
      <c r="I1965" s="3" t="s">
        <v>171</v>
      </c>
      <c r="J1965" s="3" t="s">
        <v>477</v>
      </c>
      <c r="K1965" s="3" t="s">
        <v>1660</v>
      </c>
      <c r="L1965" s="4">
        <v>0.35625000000000001</v>
      </c>
      <c r="M1965" s="3" t="s">
        <v>478</v>
      </c>
      <c r="N1965" s="3" t="s">
        <v>24</v>
      </c>
      <c r="O1965" s="3" t="s">
        <v>25</v>
      </c>
    </row>
    <row r="1966" spans="1:15">
      <c r="A1966" s="3" t="s">
        <v>15</v>
      </c>
      <c r="B1966" s="3" t="str">
        <f>"FES1162741895"</f>
        <v>FES1162741895</v>
      </c>
      <c r="C1966" s="3" t="s">
        <v>1572</v>
      </c>
      <c r="D1966" s="3">
        <v>1</v>
      </c>
      <c r="E1966" s="3" t="str">
        <f>"2170732185"</f>
        <v>2170732185</v>
      </c>
      <c r="F1966" s="3" t="s">
        <v>17</v>
      </c>
      <c r="G1966" s="3" t="s">
        <v>18</v>
      </c>
      <c r="H1966" s="3" t="s">
        <v>18</v>
      </c>
      <c r="I1966" s="3" t="s">
        <v>206</v>
      </c>
      <c r="J1966" s="3" t="s">
        <v>207</v>
      </c>
      <c r="K1966" s="3" t="s">
        <v>1660</v>
      </c>
      <c r="L1966" s="4">
        <v>0.33333333333333331</v>
      </c>
      <c r="M1966" s="3" t="s">
        <v>1703</v>
      </c>
      <c r="N1966" s="3" t="s">
        <v>24</v>
      </c>
      <c r="O1966" s="3" t="s">
        <v>25</v>
      </c>
    </row>
    <row r="1967" spans="1:15">
      <c r="A1967" s="3" t="s">
        <v>15</v>
      </c>
      <c r="B1967" s="3" t="str">
        <f>"FES1162741920"</f>
        <v>FES1162741920</v>
      </c>
      <c r="C1967" s="3" t="s">
        <v>1572</v>
      </c>
      <c r="D1967" s="3">
        <v>1</v>
      </c>
      <c r="E1967" s="3" t="str">
        <f>"2170733387"</f>
        <v>2170733387</v>
      </c>
      <c r="F1967" s="3" t="s">
        <v>17</v>
      </c>
      <c r="G1967" s="3" t="s">
        <v>18</v>
      </c>
      <c r="H1967" s="3" t="s">
        <v>948</v>
      </c>
      <c r="I1967" s="3" t="s">
        <v>151</v>
      </c>
      <c r="J1967" s="3" t="s">
        <v>770</v>
      </c>
      <c r="K1967" s="3" t="s">
        <v>1660</v>
      </c>
      <c r="L1967" s="4">
        <v>0.41875000000000001</v>
      </c>
      <c r="M1967" s="3" t="s">
        <v>961</v>
      </c>
      <c r="N1967" s="3" t="s">
        <v>24</v>
      </c>
      <c r="O1967" s="3" t="s">
        <v>25</v>
      </c>
    </row>
    <row r="1968" spans="1:15">
      <c r="A1968" s="3" t="s">
        <v>15</v>
      </c>
      <c r="B1968" s="3" t="str">
        <f>"FES1162741947"</f>
        <v>FES1162741947</v>
      </c>
      <c r="C1968" s="3" t="s">
        <v>1572</v>
      </c>
      <c r="D1968" s="3">
        <v>1</v>
      </c>
      <c r="E1968" s="3" t="str">
        <f>"2170732617"</f>
        <v>2170732617</v>
      </c>
      <c r="F1968" s="3" t="s">
        <v>17</v>
      </c>
      <c r="G1968" s="3" t="s">
        <v>18</v>
      </c>
      <c r="H1968" s="3" t="s">
        <v>19</v>
      </c>
      <c r="I1968" s="3" t="s">
        <v>51</v>
      </c>
      <c r="J1968" s="3" t="s">
        <v>1704</v>
      </c>
      <c r="K1968" s="3" t="s">
        <v>1660</v>
      </c>
      <c r="L1968" s="4">
        <v>0.4055555555555555</v>
      </c>
      <c r="M1968" s="3" t="s">
        <v>1705</v>
      </c>
      <c r="N1968" s="3" t="s">
        <v>24</v>
      </c>
      <c r="O1968" s="3" t="s">
        <v>25</v>
      </c>
    </row>
    <row r="1969" spans="1:15">
      <c r="A1969" s="3" t="s">
        <v>15</v>
      </c>
      <c r="B1969" s="3" t="str">
        <f>"FES1162741860"</f>
        <v>FES1162741860</v>
      </c>
      <c r="C1969" s="3" t="s">
        <v>1572</v>
      </c>
      <c r="D1969" s="3">
        <v>1</v>
      </c>
      <c r="E1969" s="3" t="str">
        <f>"21707328532"</f>
        <v>21707328532</v>
      </c>
      <c r="F1969" s="3" t="s">
        <v>17</v>
      </c>
      <c r="G1969" s="3" t="s">
        <v>18</v>
      </c>
      <c r="H1969" s="3" t="s">
        <v>19</v>
      </c>
      <c r="I1969" s="3" t="s">
        <v>86</v>
      </c>
      <c r="J1969" s="3" t="s">
        <v>87</v>
      </c>
      <c r="K1969" s="3" t="s">
        <v>1660</v>
      </c>
      <c r="L1969" s="4">
        <v>0.37083333333333335</v>
      </c>
      <c r="M1969" s="3" t="s">
        <v>88</v>
      </c>
      <c r="N1969" s="3" t="s">
        <v>24</v>
      </c>
      <c r="O1969" s="3" t="s">
        <v>25</v>
      </c>
    </row>
    <row r="1970" spans="1:15">
      <c r="A1970" s="3" t="s">
        <v>15</v>
      </c>
      <c r="B1970" s="3" t="str">
        <f>"FES1162741886"</f>
        <v>FES1162741886</v>
      </c>
      <c r="C1970" s="3" t="s">
        <v>1572</v>
      </c>
      <c r="D1970" s="3">
        <v>1</v>
      </c>
      <c r="E1970" s="3" t="str">
        <f>"2170731463"</f>
        <v>2170731463</v>
      </c>
      <c r="F1970" s="3" t="s">
        <v>17</v>
      </c>
      <c r="G1970" s="3" t="s">
        <v>18</v>
      </c>
      <c r="H1970" s="3" t="s">
        <v>100</v>
      </c>
      <c r="I1970" s="3" t="s">
        <v>155</v>
      </c>
      <c r="J1970" s="3" t="s">
        <v>489</v>
      </c>
      <c r="K1970" s="3" t="s">
        <v>1660</v>
      </c>
      <c r="L1970" s="4">
        <v>0.5229166666666667</v>
      </c>
      <c r="M1970" s="3" t="s">
        <v>490</v>
      </c>
      <c r="N1970" s="3" t="s">
        <v>24</v>
      </c>
      <c r="O1970" s="3" t="s">
        <v>25</v>
      </c>
    </row>
    <row r="1971" spans="1:15">
      <c r="A1971" s="3" t="s">
        <v>15</v>
      </c>
      <c r="B1971" s="3" t="str">
        <f>"FES1162741990"</f>
        <v>FES1162741990</v>
      </c>
      <c r="C1971" s="3" t="s">
        <v>1572</v>
      </c>
      <c r="D1971" s="3">
        <v>1</v>
      </c>
      <c r="E1971" s="3" t="str">
        <f>"2170733491"</f>
        <v>2170733491</v>
      </c>
      <c r="F1971" s="3" t="s">
        <v>17</v>
      </c>
      <c r="G1971" s="3" t="s">
        <v>18</v>
      </c>
      <c r="H1971" s="3" t="s">
        <v>100</v>
      </c>
      <c r="I1971" s="3" t="s">
        <v>101</v>
      </c>
      <c r="J1971" s="3" t="s">
        <v>137</v>
      </c>
      <c r="K1971" s="3" t="s">
        <v>1660</v>
      </c>
      <c r="L1971" s="4">
        <v>0.4375</v>
      </c>
      <c r="M1971" s="3" t="s">
        <v>371</v>
      </c>
      <c r="N1971" s="3" t="s">
        <v>24</v>
      </c>
      <c r="O1971" s="3" t="s">
        <v>25</v>
      </c>
    </row>
    <row r="1972" spans="1:15">
      <c r="A1972" s="3" t="s">
        <v>15</v>
      </c>
      <c r="B1972" s="3" t="str">
        <f>"FES1162741965"</f>
        <v>FES1162741965</v>
      </c>
      <c r="C1972" s="3" t="s">
        <v>1572</v>
      </c>
      <c r="D1972" s="3">
        <v>1</v>
      </c>
      <c r="E1972" s="3" t="str">
        <f>"2170733458"</f>
        <v>2170733458</v>
      </c>
      <c r="F1972" s="3" t="s">
        <v>17</v>
      </c>
      <c r="G1972" s="3" t="s">
        <v>18</v>
      </c>
      <c r="H1972" s="3" t="s">
        <v>100</v>
      </c>
      <c r="I1972" s="3" t="s">
        <v>101</v>
      </c>
      <c r="J1972" s="3" t="s">
        <v>653</v>
      </c>
      <c r="K1972" s="3" t="s">
        <v>1660</v>
      </c>
      <c r="L1972" s="4">
        <v>0.38263888888888892</v>
      </c>
      <c r="M1972" s="3" t="s">
        <v>654</v>
      </c>
      <c r="N1972" s="3" t="s">
        <v>24</v>
      </c>
      <c r="O1972" s="3" t="s">
        <v>25</v>
      </c>
    </row>
    <row r="1973" spans="1:15">
      <c r="A1973" s="3" t="s">
        <v>15</v>
      </c>
      <c r="B1973" s="3" t="str">
        <f>"FES1162741981"</f>
        <v>FES1162741981</v>
      </c>
      <c r="C1973" s="3" t="s">
        <v>1572</v>
      </c>
      <c r="D1973" s="3">
        <v>1</v>
      </c>
      <c r="E1973" s="3" t="str">
        <f>"2170733473"</f>
        <v>2170733473</v>
      </c>
      <c r="F1973" s="3" t="s">
        <v>17</v>
      </c>
      <c r="G1973" s="3" t="s">
        <v>18</v>
      </c>
      <c r="H1973" s="3" t="s">
        <v>100</v>
      </c>
      <c r="I1973" s="3" t="s">
        <v>101</v>
      </c>
      <c r="J1973" s="3" t="s">
        <v>125</v>
      </c>
      <c r="K1973" s="3" t="s">
        <v>1660</v>
      </c>
      <c r="L1973" s="4">
        <v>0.29583333333333334</v>
      </c>
      <c r="M1973" s="3" t="s">
        <v>272</v>
      </c>
      <c r="N1973" s="3" t="s">
        <v>24</v>
      </c>
      <c r="O1973" s="3" t="s">
        <v>25</v>
      </c>
    </row>
    <row r="1974" spans="1:15">
      <c r="A1974" s="3" t="s">
        <v>15</v>
      </c>
      <c r="B1974" s="3" t="str">
        <f>"FES1162741863"</f>
        <v>FES1162741863</v>
      </c>
      <c r="C1974" s="3" t="s">
        <v>1572</v>
      </c>
      <c r="D1974" s="3">
        <v>1</v>
      </c>
      <c r="E1974" s="3" t="str">
        <f>"2170729419"</f>
        <v>2170729419</v>
      </c>
      <c r="F1974" s="3" t="s">
        <v>17</v>
      </c>
      <c r="G1974" s="3" t="s">
        <v>18</v>
      </c>
      <c r="H1974" s="3" t="s">
        <v>66</v>
      </c>
      <c r="I1974" s="3" t="s">
        <v>67</v>
      </c>
      <c r="J1974" s="3" t="s">
        <v>1706</v>
      </c>
      <c r="K1974" s="3" t="s">
        <v>1660</v>
      </c>
      <c r="L1974" s="4">
        <v>0.5</v>
      </c>
      <c r="M1974" s="3" t="s">
        <v>1707</v>
      </c>
      <c r="N1974" s="3" t="s">
        <v>24</v>
      </c>
      <c r="O1974" s="3" t="s">
        <v>25</v>
      </c>
    </row>
    <row r="1975" spans="1:15">
      <c r="A1975" s="3" t="s">
        <v>15</v>
      </c>
      <c r="B1975" s="3" t="str">
        <f>"FES1162741996"</f>
        <v>FES1162741996</v>
      </c>
      <c r="C1975" s="3" t="s">
        <v>1572</v>
      </c>
      <c r="D1975" s="3">
        <v>1</v>
      </c>
      <c r="E1975" s="3" t="str">
        <f>"2170733499"</f>
        <v>2170733499</v>
      </c>
      <c r="F1975" s="3" t="s">
        <v>17</v>
      </c>
      <c r="G1975" s="3" t="s">
        <v>18</v>
      </c>
      <c r="H1975" s="3" t="s">
        <v>36</v>
      </c>
      <c r="I1975" s="3" t="s">
        <v>37</v>
      </c>
      <c r="J1975" s="3" t="s">
        <v>585</v>
      </c>
      <c r="K1975" s="3" t="s">
        <v>1660</v>
      </c>
      <c r="L1975" s="4">
        <v>0.39027777777777778</v>
      </c>
      <c r="M1975" s="3" t="s">
        <v>1678</v>
      </c>
      <c r="N1975" s="3" t="s">
        <v>24</v>
      </c>
      <c r="O1975" s="3" t="s">
        <v>25</v>
      </c>
    </row>
    <row r="1976" spans="1:15">
      <c r="A1976" s="3" t="s">
        <v>15</v>
      </c>
      <c r="B1976" s="3" t="str">
        <f>"FES1162741935"</f>
        <v>FES1162741935</v>
      </c>
      <c r="C1976" s="3" t="s">
        <v>1572</v>
      </c>
      <c r="D1976" s="3">
        <v>1</v>
      </c>
      <c r="E1976" s="3" t="str">
        <f>"2170733426"</f>
        <v>2170733426</v>
      </c>
      <c r="F1976" s="3" t="s">
        <v>17</v>
      </c>
      <c r="G1976" s="3" t="s">
        <v>18</v>
      </c>
      <c r="H1976" s="3" t="s">
        <v>66</v>
      </c>
      <c r="I1976" s="3" t="s">
        <v>67</v>
      </c>
      <c r="J1976" s="3" t="s">
        <v>975</v>
      </c>
      <c r="K1976" s="3" t="s">
        <v>1660</v>
      </c>
      <c r="L1976" s="4">
        <v>0.39583333333333331</v>
      </c>
      <c r="M1976" s="3" t="s">
        <v>1708</v>
      </c>
      <c r="N1976" s="3" t="s">
        <v>24</v>
      </c>
      <c r="O1976" s="3" t="s">
        <v>25</v>
      </c>
    </row>
    <row r="1977" spans="1:15">
      <c r="A1977" s="3" t="s">
        <v>15</v>
      </c>
      <c r="B1977" s="3" t="str">
        <f>"FES1162741750"</f>
        <v>FES1162741750</v>
      </c>
      <c r="C1977" s="3" t="s">
        <v>1572</v>
      </c>
      <c r="D1977" s="3">
        <v>1</v>
      </c>
      <c r="E1977" s="3" t="str">
        <f>"2170731385"</f>
        <v>2170731385</v>
      </c>
      <c r="F1977" s="3" t="s">
        <v>17</v>
      </c>
      <c r="G1977" s="3" t="s">
        <v>18</v>
      </c>
      <c r="H1977" s="3" t="s">
        <v>18</v>
      </c>
      <c r="I1977" s="3" t="s">
        <v>206</v>
      </c>
      <c r="J1977" s="3" t="s">
        <v>399</v>
      </c>
      <c r="K1977" s="3" t="s">
        <v>1666</v>
      </c>
      <c r="L1977" s="4">
        <v>0.43055555555555558</v>
      </c>
      <c r="M1977" s="3" t="s">
        <v>400</v>
      </c>
      <c r="N1977" s="3" t="s">
        <v>24</v>
      </c>
      <c r="O1977" s="3" t="s">
        <v>25</v>
      </c>
    </row>
    <row r="1978" spans="1:15">
      <c r="A1978" s="3" t="s">
        <v>15</v>
      </c>
      <c r="B1978" s="3" t="str">
        <f>"FES1162741940"</f>
        <v>FES1162741940</v>
      </c>
      <c r="C1978" s="3" t="s">
        <v>1572</v>
      </c>
      <c r="D1978" s="3">
        <v>1</v>
      </c>
      <c r="E1978" s="3" t="str">
        <f>"2170733415"</f>
        <v>2170733415</v>
      </c>
      <c r="F1978" s="3" t="s">
        <v>17</v>
      </c>
      <c r="G1978" s="3" t="s">
        <v>18</v>
      </c>
      <c r="H1978" s="3" t="s">
        <v>18</v>
      </c>
      <c r="I1978" s="3" t="s">
        <v>180</v>
      </c>
      <c r="J1978" s="3" t="s">
        <v>856</v>
      </c>
      <c r="K1978" s="3" t="s">
        <v>1660</v>
      </c>
      <c r="L1978" s="4">
        <v>0.39374999999999999</v>
      </c>
      <c r="M1978" s="3" t="s">
        <v>1709</v>
      </c>
      <c r="N1978" s="3" t="s">
        <v>24</v>
      </c>
      <c r="O1978" s="3" t="s">
        <v>25</v>
      </c>
    </row>
    <row r="1979" spans="1:15">
      <c r="A1979" s="3" t="s">
        <v>15</v>
      </c>
      <c r="B1979" s="3" t="str">
        <f>"FES1162741973"</f>
        <v>FES1162741973</v>
      </c>
      <c r="C1979" s="3" t="s">
        <v>1572</v>
      </c>
      <c r="D1979" s="3">
        <v>1</v>
      </c>
      <c r="E1979" s="3" t="str">
        <f>"2170733465"</f>
        <v>2170733465</v>
      </c>
      <c r="F1979" s="3" t="s">
        <v>17</v>
      </c>
      <c r="G1979" s="3" t="s">
        <v>18</v>
      </c>
      <c r="H1979" s="3" t="s">
        <v>40</v>
      </c>
      <c r="I1979" s="3" t="s">
        <v>41</v>
      </c>
      <c r="J1979" s="3" t="s">
        <v>1384</v>
      </c>
      <c r="K1979" s="3" t="s">
        <v>1660</v>
      </c>
      <c r="L1979" s="4">
        <v>0.37152777777777773</v>
      </c>
      <c r="M1979" s="3" t="s">
        <v>472</v>
      </c>
      <c r="N1979" s="3" t="s">
        <v>24</v>
      </c>
      <c r="O1979" s="3" t="s">
        <v>25</v>
      </c>
    </row>
    <row r="1980" spans="1:15">
      <c r="A1980" s="3" t="s">
        <v>15</v>
      </c>
      <c r="B1980" s="3" t="str">
        <f>"FES1162741907"</f>
        <v>FES1162741907</v>
      </c>
      <c r="C1980" s="3" t="s">
        <v>1572</v>
      </c>
      <c r="D1980" s="3">
        <v>1</v>
      </c>
      <c r="E1980" s="3" t="str">
        <f>"2170733106"</f>
        <v>2170733106</v>
      </c>
      <c r="F1980" s="3" t="s">
        <v>17</v>
      </c>
      <c r="G1980" s="3" t="s">
        <v>18</v>
      </c>
      <c r="H1980" s="3" t="s">
        <v>18</v>
      </c>
      <c r="I1980" s="3" t="s">
        <v>171</v>
      </c>
      <c r="J1980" s="3" t="s">
        <v>1710</v>
      </c>
      <c r="K1980" s="3" t="s">
        <v>1660</v>
      </c>
      <c r="L1980" s="4">
        <v>0.41319444444444442</v>
      </c>
      <c r="M1980" s="3" t="s">
        <v>1711</v>
      </c>
      <c r="N1980" s="3" t="s">
        <v>24</v>
      </c>
      <c r="O1980" s="3" t="s">
        <v>25</v>
      </c>
    </row>
    <row r="1981" spans="1:15">
      <c r="A1981" s="3" t="s">
        <v>15</v>
      </c>
      <c r="B1981" s="3" t="str">
        <f>"FES1162741713"</f>
        <v>FES1162741713</v>
      </c>
      <c r="C1981" s="3" t="s">
        <v>1572</v>
      </c>
      <c r="D1981" s="3">
        <v>1</v>
      </c>
      <c r="E1981" s="3" t="str">
        <f>"2170731170"</f>
        <v>2170731170</v>
      </c>
      <c r="F1981" s="3" t="s">
        <v>17</v>
      </c>
      <c r="G1981" s="3" t="s">
        <v>18</v>
      </c>
      <c r="H1981" s="3" t="s">
        <v>18</v>
      </c>
      <c r="I1981" s="3" t="s">
        <v>309</v>
      </c>
      <c r="J1981" s="3" t="s">
        <v>278</v>
      </c>
      <c r="K1981" s="3" t="s">
        <v>1660</v>
      </c>
      <c r="L1981" s="4">
        <v>0.33333333333333331</v>
      </c>
      <c r="M1981" s="3" t="s">
        <v>200</v>
      </c>
      <c r="N1981" s="3" t="s">
        <v>24</v>
      </c>
      <c r="O1981" s="3" t="s">
        <v>25</v>
      </c>
    </row>
    <row r="1982" spans="1:15">
      <c r="A1982" s="3" t="s">
        <v>15</v>
      </c>
      <c r="B1982" s="3" t="str">
        <f>"FES1162741899"</f>
        <v>FES1162741899</v>
      </c>
      <c r="C1982" s="3" t="s">
        <v>1572</v>
      </c>
      <c r="D1982" s="3">
        <v>1</v>
      </c>
      <c r="E1982" s="3" t="str">
        <f>"2170732497"</f>
        <v>2170732497</v>
      </c>
      <c r="F1982" s="3" t="s">
        <v>17</v>
      </c>
      <c r="G1982" s="3" t="s">
        <v>18</v>
      </c>
      <c r="H1982" s="3" t="s">
        <v>66</v>
      </c>
      <c r="I1982" s="3" t="s">
        <v>67</v>
      </c>
      <c r="J1982" s="3" t="s">
        <v>68</v>
      </c>
      <c r="K1982" s="3" t="s">
        <v>1660</v>
      </c>
      <c r="L1982" s="4">
        <v>0.4375</v>
      </c>
      <c r="M1982" s="3" t="s">
        <v>502</v>
      </c>
      <c r="N1982" s="3" t="s">
        <v>24</v>
      </c>
      <c r="O1982" s="3" t="s">
        <v>25</v>
      </c>
    </row>
    <row r="1983" spans="1:15">
      <c r="A1983" s="3" t="s">
        <v>15</v>
      </c>
      <c r="B1983" s="3" t="str">
        <f>"FES1162741931"</f>
        <v>FES1162741931</v>
      </c>
      <c r="C1983" s="3" t="s">
        <v>1572</v>
      </c>
      <c r="D1983" s="3">
        <v>1</v>
      </c>
      <c r="E1983" s="3" t="str">
        <f>"2170733417"</f>
        <v>2170733417</v>
      </c>
      <c r="F1983" s="3" t="s">
        <v>17</v>
      </c>
      <c r="G1983" s="3" t="s">
        <v>18</v>
      </c>
      <c r="H1983" s="3" t="s">
        <v>66</v>
      </c>
      <c r="I1983" s="3" t="s">
        <v>67</v>
      </c>
      <c r="J1983" s="3" t="s">
        <v>278</v>
      </c>
      <c r="K1983" s="3" t="s">
        <v>1660</v>
      </c>
      <c r="L1983" s="4">
        <v>0.42777777777777781</v>
      </c>
      <c r="M1983" s="3" t="s">
        <v>786</v>
      </c>
      <c r="N1983" s="3" t="s">
        <v>24</v>
      </c>
      <c r="O1983" s="3" t="s">
        <v>25</v>
      </c>
    </row>
    <row r="1984" spans="1:15">
      <c r="A1984" s="3" t="s">
        <v>15</v>
      </c>
      <c r="B1984" s="3" t="str">
        <f>"FES1162741977"</f>
        <v>FES1162741977</v>
      </c>
      <c r="C1984" s="3" t="s">
        <v>1572</v>
      </c>
      <c r="D1984" s="3">
        <v>1</v>
      </c>
      <c r="E1984" s="3" t="str">
        <f>"2170733469"</f>
        <v>2170733469</v>
      </c>
      <c r="F1984" s="3" t="s">
        <v>17</v>
      </c>
      <c r="G1984" s="3" t="s">
        <v>18</v>
      </c>
      <c r="H1984" s="3" t="s">
        <v>40</v>
      </c>
      <c r="I1984" s="3" t="s">
        <v>41</v>
      </c>
      <c r="J1984" s="3" t="s">
        <v>1384</v>
      </c>
      <c r="K1984" s="3" t="s">
        <v>1660</v>
      </c>
      <c r="L1984" s="4">
        <v>0.39027777777777778</v>
      </c>
      <c r="M1984" s="3" t="s">
        <v>472</v>
      </c>
      <c r="N1984" s="3" t="s">
        <v>24</v>
      </c>
      <c r="O1984" s="3" t="s">
        <v>25</v>
      </c>
    </row>
    <row r="1985" spans="1:15">
      <c r="A1985" s="3" t="s">
        <v>15</v>
      </c>
      <c r="B1985" s="3" t="str">
        <f>"FES1162741959"</f>
        <v>FES1162741959</v>
      </c>
      <c r="C1985" s="3" t="s">
        <v>1572</v>
      </c>
      <c r="D1985" s="3">
        <v>1</v>
      </c>
      <c r="E1985" s="3" t="str">
        <f>"2170733452"</f>
        <v>2170733452</v>
      </c>
      <c r="F1985" s="3" t="s">
        <v>17</v>
      </c>
      <c r="G1985" s="3" t="s">
        <v>18</v>
      </c>
      <c r="H1985" s="3" t="s">
        <v>18</v>
      </c>
      <c r="I1985" s="3" t="s">
        <v>171</v>
      </c>
      <c r="J1985" s="3" t="s">
        <v>884</v>
      </c>
      <c r="K1985" s="3" t="s">
        <v>1660</v>
      </c>
      <c r="L1985" s="4">
        <v>0.28750000000000003</v>
      </c>
      <c r="M1985" s="3" t="s">
        <v>232</v>
      </c>
      <c r="N1985" s="3" t="s">
        <v>24</v>
      </c>
      <c r="O1985" s="3" t="s">
        <v>25</v>
      </c>
    </row>
    <row r="1986" spans="1:15">
      <c r="A1986" s="3" t="s">
        <v>15</v>
      </c>
      <c r="B1986" s="3" t="str">
        <f>"FES1162741968"</f>
        <v>FES1162741968</v>
      </c>
      <c r="C1986" s="3" t="s">
        <v>1572</v>
      </c>
      <c r="D1986" s="3">
        <v>1</v>
      </c>
      <c r="E1986" s="3" t="str">
        <f>"2170733461"</f>
        <v>2170733461</v>
      </c>
      <c r="F1986" s="3" t="s">
        <v>17</v>
      </c>
      <c r="G1986" s="3" t="s">
        <v>18</v>
      </c>
      <c r="H1986" s="3" t="s">
        <v>100</v>
      </c>
      <c r="I1986" s="3" t="s">
        <v>101</v>
      </c>
      <c r="J1986" s="3" t="s">
        <v>1612</v>
      </c>
      <c r="K1986" s="3" t="s">
        <v>1660</v>
      </c>
      <c r="L1986" s="4">
        <v>0.42638888888888887</v>
      </c>
      <c r="M1986" s="3" t="s">
        <v>1324</v>
      </c>
      <c r="N1986" s="3" t="s">
        <v>24</v>
      </c>
      <c r="O1986" s="3" t="s">
        <v>25</v>
      </c>
    </row>
    <row r="1987" spans="1:15">
      <c r="A1987" s="3" t="s">
        <v>15</v>
      </c>
      <c r="B1987" s="3" t="str">
        <f>"FES1162741967"</f>
        <v>FES1162741967</v>
      </c>
      <c r="C1987" s="3" t="s">
        <v>1572</v>
      </c>
      <c r="D1987" s="3">
        <v>1</v>
      </c>
      <c r="E1987" s="3" t="str">
        <f>"2170733460"</f>
        <v>2170733460</v>
      </c>
      <c r="F1987" s="3" t="s">
        <v>17</v>
      </c>
      <c r="G1987" s="3" t="s">
        <v>18</v>
      </c>
      <c r="H1987" s="3" t="s">
        <v>18</v>
      </c>
      <c r="I1987" s="3" t="s">
        <v>171</v>
      </c>
      <c r="J1987" s="3" t="s">
        <v>197</v>
      </c>
      <c r="K1987" s="3" t="s">
        <v>1660</v>
      </c>
      <c r="L1987" s="4">
        <v>0.37847222222222227</v>
      </c>
      <c r="M1987" s="3" t="s">
        <v>1138</v>
      </c>
      <c r="N1987" s="3" t="s">
        <v>24</v>
      </c>
      <c r="O1987" s="3" t="s">
        <v>25</v>
      </c>
    </row>
    <row r="1988" spans="1:15">
      <c r="A1988" s="3" t="s">
        <v>15</v>
      </c>
      <c r="B1988" s="3" t="str">
        <f>"FES1162741982"</f>
        <v>FES1162741982</v>
      </c>
      <c r="C1988" s="3" t="s">
        <v>1572</v>
      </c>
      <c r="D1988" s="3">
        <v>1</v>
      </c>
      <c r="E1988" s="3" t="str">
        <f>"2170733474"</f>
        <v>2170733474</v>
      </c>
      <c r="F1988" s="3" t="s">
        <v>17</v>
      </c>
      <c r="G1988" s="3" t="s">
        <v>18</v>
      </c>
      <c r="H1988" s="3" t="s">
        <v>100</v>
      </c>
      <c r="I1988" s="3" t="s">
        <v>117</v>
      </c>
      <c r="J1988" s="3" t="s">
        <v>335</v>
      </c>
      <c r="K1988" s="3" t="s">
        <v>1660</v>
      </c>
      <c r="L1988" s="4">
        <v>0.5</v>
      </c>
      <c r="M1988" s="3" t="s">
        <v>626</v>
      </c>
      <c r="N1988" s="3" t="s">
        <v>24</v>
      </c>
      <c r="O1988" s="3" t="s">
        <v>25</v>
      </c>
    </row>
    <row r="1989" spans="1:15">
      <c r="A1989" s="3" t="s">
        <v>15</v>
      </c>
      <c r="B1989" s="3" t="str">
        <f>"FES1162741934"</f>
        <v>FES1162741934</v>
      </c>
      <c r="C1989" s="3" t="s">
        <v>1572</v>
      </c>
      <c r="D1989" s="3">
        <v>1</v>
      </c>
      <c r="E1989" s="3" t="str">
        <f>"2170733425"</f>
        <v>2170733425</v>
      </c>
      <c r="F1989" s="3" t="s">
        <v>17</v>
      </c>
      <c r="G1989" s="3" t="s">
        <v>18</v>
      </c>
      <c r="H1989" s="3" t="s">
        <v>66</v>
      </c>
      <c r="I1989" s="3" t="s">
        <v>67</v>
      </c>
      <c r="J1989" s="3" t="s">
        <v>975</v>
      </c>
      <c r="K1989" s="3" t="s">
        <v>1660</v>
      </c>
      <c r="L1989" s="4">
        <v>0.4381944444444445</v>
      </c>
      <c r="M1989" s="3" t="s">
        <v>1712</v>
      </c>
      <c r="N1989" s="3" t="s">
        <v>24</v>
      </c>
      <c r="O1989" s="3" t="s">
        <v>25</v>
      </c>
    </row>
    <row r="1990" spans="1:15">
      <c r="A1990" s="3" t="s">
        <v>15</v>
      </c>
      <c r="B1990" s="3" t="str">
        <f>"FES1162742013"</f>
        <v>FES1162742013</v>
      </c>
      <c r="C1990" s="3" t="s">
        <v>1572</v>
      </c>
      <c r="D1990" s="3">
        <v>1</v>
      </c>
      <c r="E1990" s="3" t="str">
        <f>"2170733522"</f>
        <v>2170733522</v>
      </c>
      <c r="F1990" s="3" t="s">
        <v>17</v>
      </c>
      <c r="G1990" s="3" t="s">
        <v>18</v>
      </c>
      <c r="H1990" s="3" t="s">
        <v>19</v>
      </c>
      <c r="I1990" s="3" t="s">
        <v>20</v>
      </c>
      <c r="J1990" s="3" t="s">
        <v>56</v>
      </c>
      <c r="K1990" s="3" t="s">
        <v>1660</v>
      </c>
      <c r="L1990" s="4">
        <v>0.35347222222222219</v>
      </c>
      <c r="M1990" s="3" t="s">
        <v>57</v>
      </c>
      <c r="N1990" s="3" t="s">
        <v>24</v>
      </c>
      <c r="O1990" s="3" t="s">
        <v>25</v>
      </c>
    </row>
    <row r="1991" spans="1:15">
      <c r="A1991" s="3" t="s">
        <v>15</v>
      </c>
      <c r="B1991" s="3" t="str">
        <f>"FES1162741874"</f>
        <v>FES1162741874</v>
      </c>
      <c r="C1991" s="3" t="s">
        <v>1572</v>
      </c>
      <c r="D1991" s="3">
        <v>1</v>
      </c>
      <c r="E1991" s="3" t="str">
        <f>"2170731249"</f>
        <v>2170731249</v>
      </c>
      <c r="F1991" s="3" t="s">
        <v>17</v>
      </c>
      <c r="G1991" s="3" t="s">
        <v>18</v>
      </c>
      <c r="H1991" s="3" t="s">
        <v>18</v>
      </c>
      <c r="I1991" s="3" t="s">
        <v>171</v>
      </c>
      <c r="J1991" s="3" t="s">
        <v>353</v>
      </c>
      <c r="K1991" s="3" t="s">
        <v>1660</v>
      </c>
      <c r="L1991" s="4">
        <v>0.30833333333333335</v>
      </c>
      <c r="M1991" s="3" t="s">
        <v>1713</v>
      </c>
      <c r="N1991" s="3" t="s">
        <v>24</v>
      </c>
      <c r="O1991" s="3" t="s">
        <v>25</v>
      </c>
    </row>
    <row r="1992" spans="1:15">
      <c r="A1992" s="3" t="s">
        <v>15</v>
      </c>
      <c r="B1992" s="3" t="str">
        <f>"FES1162741954"</f>
        <v>FES1162741954</v>
      </c>
      <c r="C1992" s="3" t="s">
        <v>1572</v>
      </c>
      <c r="D1992" s="3">
        <v>1</v>
      </c>
      <c r="E1992" s="3" t="str">
        <f>"217073349"</f>
        <v>217073349</v>
      </c>
      <c r="F1992" s="3" t="s">
        <v>17</v>
      </c>
      <c r="G1992" s="3" t="s">
        <v>18</v>
      </c>
      <c r="H1992" s="3" t="s">
        <v>18</v>
      </c>
      <c r="I1992" s="3" t="s">
        <v>33</v>
      </c>
      <c r="J1992" s="3" t="s">
        <v>1714</v>
      </c>
      <c r="K1992" s="3" t="s">
        <v>1660</v>
      </c>
      <c r="L1992" s="4">
        <v>0.36805555555555558</v>
      </c>
      <c r="M1992" s="3" t="s">
        <v>1715</v>
      </c>
      <c r="N1992" s="3" t="s">
        <v>24</v>
      </c>
      <c r="O1992" s="3" t="s">
        <v>25</v>
      </c>
    </row>
    <row r="1993" spans="1:15">
      <c r="A1993" s="3" t="s">
        <v>15</v>
      </c>
      <c r="B1993" s="3" t="str">
        <f>"FES1162741962"</f>
        <v>FES1162741962</v>
      </c>
      <c r="C1993" s="3" t="s">
        <v>1572</v>
      </c>
      <c r="D1993" s="3">
        <v>1</v>
      </c>
      <c r="E1993" s="3" t="str">
        <f>"2170733454"</f>
        <v>2170733454</v>
      </c>
      <c r="F1993" s="3" t="s">
        <v>17</v>
      </c>
      <c r="G1993" s="3" t="s">
        <v>18</v>
      </c>
      <c r="H1993" s="3" t="s">
        <v>18</v>
      </c>
      <c r="I1993" s="3" t="s">
        <v>168</v>
      </c>
      <c r="J1993" s="3" t="s">
        <v>169</v>
      </c>
      <c r="K1993" s="3" t="s">
        <v>1660</v>
      </c>
      <c r="L1993" s="4">
        <v>0.41805555555555557</v>
      </c>
      <c r="M1993" s="3" t="s">
        <v>170</v>
      </c>
      <c r="N1993" s="3" t="s">
        <v>24</v>
      </c>
      <c r="O1993" s="3" t="s">
        <v>25</v>
      </c>
    </row>
    <row r="1994" spans="1:15">
      <c r="A1994" s="3" t="s">
        <v>15</v>
      </c>
      <c r="B1994" s="3" t="str">
        <f>"FES1162741708"</f>
        <v>FES1162741708</v>
      </c>
      <c r="C1994" s="3" t="s">
        <v>1572</v>
      </c>
      <c r="D1994" s="3">
        <v>1</v>
      </c>
      <c r="E1994" s="3" t="str">
        <f>"2170731303"</f>
        <v>2170731303</v>
      </c>
      <c r="F1994" s="3" t="s">
        <v>17</v>
      </c>
      <c r="G1994" s="3" t="s">
        <v>18</v>
      </c>
      <c r="H1994" s="3" t="s">
        <v>36</v>
      </c>
      <c r="I1994" s="3" t="s">
        <v>174</v>
      </c>
      <c r="J1994" s="3" t="s">
        <v>712</v>
      </c>
      <c r="K1994" s="3" t="s">
        <v>1660</v>
      </c>
      <c r="L1994" s="4">
        <v>0.3298611111111111</v>
      </c>
      <c r="M1994" s="3" t="s">
        <v>350</v>
      </c>
      <c r="N1994" s="3" t="s">
        <v>24</v>
      </c>
      <c r="O1994" s="3" t="s">
        <v>25</v>
      </c>
    </row>
    <row r="1995" spans="1:15">
      <c r="A1995" s="3" t="s">
        <v>15</v>
      </c>
      <c r="B1995" s="3" t="str">
        <f>"FES1162741961"</f>
        <v>FES1162741961</v>
      </c>
      <c r="C1995" s="3" t="s">
        <v>1572</v>
      </c>
      <c r="D1995" s="3">
        <v>1</v>
      </c>
      <c r="E1995" s="3" t="str">
        <f>"2170726559"</f>
        <v>2170726559</v>
      </c>
      <c r="F1995" s="3" t="s">
        <v>17</v>
      </c>
      <c r="G1995" s="3" t="s">
        <v>18</v>
      </c>
      <c r="H1995" s="3" t="s">
        <v>18</v>
      </c>
      <c r="I1995" s="3" t="s">
        <v>151</v>
      </c>
      <c r="J1995" s="3" t="s">
        <v>493</v>
      </c>
      <c r="K1995" s="3" t="s">
        <v>1660</v>
      </c>
      <c r="L1995" s="4">
        <v>0.39166666666666666</v>
      </c>
      <c r="M1995" s="3" t="s">
        <v>1716</v>
      </c>
      <c r="N1995" s="3" t="s">
        <v>24</v>
      </c>
      <c r="O1995" s="3" t="s">
        <v>25</v>
      </c>
    </row>
    <row r="1996" spans="1:15">
      <c r="A1996" s="3" t="s">
        <v>15</v>
      </c>
      <c r="B1996" s="3" t="str">
        <f>"FES1162742008"</f>
        <v>FES1162742008</v>
      </c>
      <c r="C1996" s="3" t="s">
        <v>1572</v>
      </c>
      <c r="D1996" s="3">
        <v>1</v>
      </c>
      <c r="E1996" s="3" t="str">
        <f>"2170733107"</f>
        <v>2170733107</v>
      </c>
      <c r="F1996" s="3" t="s">
        <v>17</v>
      </c>
      <c r="G1996" s="3" t="s">
        <v>18</v>
      </c>
      <c r="H1996" s="3" t="s">
        <v>100</v>
      </c>
      <c r="I1996" s="3" t="s">
        <v>101</v>
      </c>
      <c r="J1996" s="3" t="s">
        <v>318</v>
      </c>
      <c r="K1996" s="3" t="s">
        <v>1660</v>
      </c>
      <c r="L1996" s="4">
        <v>0.41666666666666669</v>
      </c>
      <c r="M1996" s="3" t="s">
        <v>1717</v>
      </c>
      <c r="N1996" s="3" t="s">
        <v>24</v>
      </c>
      <c r="O1996" s="3" t="s">
        <v>25</v>
      </c>
    </row>
    <row r="1997" spans="1:15">
      <c r="A1997" s="3" t="s">
        <v>15</v>
      </c>
      <c r="B1997" s="3" t="str">
        <f>"FES1162742015"</f>
        <v>FES1162742015</v>
      </c>
      <c r="C1997" s="3" t="s">
        <v>1572</v>
      </c>
      <c r="D1997" s="3">
        <v>1</v>
      </c>
      <c r="E1997" s="3" t="str">
        <f>"2170733524"</f>
        <v>2170733524</v>
      </c>
      <c r="F1997" s="3" t="s">
        <v>17</v>
      </c>
      <c r="G1997" s="3" t="s">
        <v>18</v>
      </c>
      <c r="H1997" s="3" t="s">
        <v>100</v>
      </c>
      <c r="I1997" s="3" t="s">
        <v>101</v>
      </c>
      <c r="J1997" s="3" t="s">
        <v>296</v>
      </c>
      <c r="K1997" s="3" t="s">
        <v>1660</v>
      </c>
      <c r="L1997" s="4">
        <v>0.35416666666666669</v>
      </c>
      <c r="M1997" s="3" t="s">
        <v>297</v>
      </c>
      <c r="N1997" s="3" t="s">
        <v>24</v>
      </c>
      <c r="O1997" s="3" t="s">
        <v>25</v>
      </c>
    </row>
    <row r="1998" spans="1:15">
      <c r="A1998" s="3" t="s">
        <v>15</v>
      </c>
      <c r="B1998" s="3" t="str">
        <f>"FES1162741927"</f>
        <v>FES1162741927</v>
      </c>
      <c r="C1998" s="3" t="s">
        <v>1572</v>
      </c>
      <c r="D1998" s="3">
        <v>1</v>
      </c>
      <c r="E1998" s="3" t="str">
        <f>"2170733405"</f>
        <v>2170733405</v>
      </c>
      <c r="F1998" s="3" t="s">
        <v>17</v>
      </c>
      <c r="G1998" s="3" t="s">
        <v>18</v>
      </c>
      <c r="H1998" s="3" t="s">
        <v>18</v>
      </c>
      <c r="I1998" s="3" t="s">
        <v>309</v>
      </c>
      <c r="J1998" s="3" t="s">
        <v>882</v>
      </c>
      <c r="K1998" s="3" t="s">
        <v>1660</v>
      </c>
      <c r="L1998" s="4">
        <v>0.34513888888888888</v>
      </c>
      <c r="M1998" s="3" t="s">
        <v>1615</v>
      </c>
      <c r="N1998" s="3" t="s">
        <v>24</v>
      </c>
      <c r="O1998" s="3" t="s">
        <v>25</v>
      </c>
    </row>
    <row r="1999" spans="1:15">
      <c r="A1999" s="3" t="s">
        <v>15</v>
      </c>
      <c r="B1999" s="3" t="str">
        <f>"FES1162742005"</f>
        <v>FES1162742005</v>
      </c>
      <c r="C1999" s="3" t="s">
        <v>1572</v>
      </c>
      <c r="D1999" s="3">
        <v>1</v>
      </c>
      <c r="E1999" s="3" t="str">
        <f>"2170734478"</f>
        <v>2170734478</v>
      </c>
      <c r="F1999" s="3" t="s">
        <v>17</v>
      </c>
      <c r="G1999" s="3" t="s">
        <v>18</v>
      </c>
      <c r="H1999" s="3" t="s">
        <v>100</v>
      </c>
      <c r="I1999" s="3" t="s">
        <v>101</v>
      </c>
      <c r="J1999" s="3" t="s">
        <v>265</v>
      </c>
      <c r="K1999" s="3" t="s">
        <v>1660</v>
      </c>
      <c r="L1999" s="4">
        <v>0.32083333333333336</v>
      </c>
      <c r="M1999" s="3" t="s">
        <v>1671</v>
      </c>
      <c r="N1999" s="3" t="s">
        <v>24</v>
      </c>
      <c r="O1999" s="3" t="s">
        <v>25</v>
      </c>
    </row>
    <row r="2000" spans="1:15">
      <c r="A2000" s="3" t="s">
        <v>15</v>
      </c>
      <c r="B2000" s="3" t="str">
        <f>"FES1162742034"</f>
        <v>FES1162742034</v>
      </c>
      <c r="C2000" s="3" t="s">
        <v>1572</v>
      </c>
      <c r="D2000" s="3">
        <v>1</v>
      </c>
      <c r="E2000" s="3" t="str">
        <f>"2170733546"</f>
        <v>2170733546</v>
      </c>
      <c r="F2000" s="3" t="s">
        <v>17</v>
      </c>
      <c r="G2000" s="3" t="s">
        <v>18</v>
      </c>
      <c r="H2000" s="3" t="s">
        <v>19</v>
      </c>
      <c r="I2000" s="3" t="s">
        <v>20</v>
      </c>
      <c r="J2000" s="3" t="s">
        <v>56</v>
      </c>
      <c r="K2000" s="3" t="s">
        <v>1660</v>
      </c>
      <c r="L2000" s="4">
        <v>0.35347222222222219</v>
      </c>
      <c r="M2000" s="3" t="s">
        <v>57</v>
      </c>
      <c r="N2000" s="3" t="s">
        <v>24</v>
      </c>
      <c r="O2000" s="3" t="s">
        <v>25</v>
      </c>
    </row>
    <row r="2001" spans="1:15">
      <c r="A2001" s="3" t="s">
        <v>15</v>
      </c>
      <c r="B2001" s="3" t="str">
        <f>"FES1162741960"</f>
        <v>FES1162741960</v>
      </c>
      <c r="C2001" s="3" t="s">
        <v>1572</v>
      </c>
      <c r="D2001" s="3">
        <v>1</v>
      </c>
      <c r="E2001" s="3" t="str">
        <f>"2170733453"</f>
        <v>2170733453</v>
      </c>
      <c r="F2001" s="3" t="s">
        <v>17</v>
      </c>
      <c r="G2001" s="3" t="s">
        <v>18</v>
      </c>
      <c r="H2001" s="3" t="s">
        <v>18</v>
      </c>
      <c r="I2001" s="3" t="s">
        <v>168</v>
      </c>
      <c r="J2001" s="3" t="s">
        <v>169</v>
      </c>
      <c r="K2001" s="3" t="s">
        <v>1660</v>
      </c>
      <c r="L2001" s="4">
        <v>0.41875000000000001</v>
      </c>
      <c r="M2001" s="3" t="s">
        <v>170</v>
      </c>
      <c r="N2001" s="3" t="s">
        <v>24</v>
      </c>
      <c r="O2001" s="3" t="s">
        <v>25</v>
      </c>
    </row>
    <row r="2002" spans="1:15">
      <c r="A2002" s="3" t="s">
        <v>15</v>
      </c>
      <c r="B2002" s="3" t="str">
        <f>"FES1162742010"</f>
        <v>FES1162742010</v>
      </c>
      <c r="C2002" s="3" t="s">
        <v>1572</v>
      </c>
      <c r="D2002" s="3">
        <v>1</v>
      </c>
      <c r="E2002" s="3" t="str">
        <f>"2170733514"</f>
        <v>2170733514</v>
      </c>
      <c r="F2002" s="3" t="s">
        <v>17</v>
      </c>
      <c r="G2002" s="3" t="s">
        <v>18</v>
      </c>
      <c r="H2002" s="3" t="s">
        <v>19</v>
      </c>
      <c r="I2002" s="3" t="s">
        <v>20</v>
      </c>
      <c r="J2002" s="3" t="s">
        <v>1718</v>
      </c>
      <c r="K2002" s="3" t="s">
        <v>1660</v>
      </c>
      <c r="L2002" s="4">
        <v>0.75</v>
      </c>
      <c r="M2002" s="3" t="s">
        <v>1719</v>
      </c>
      <c r="N2002" s="3" t="s">
        <v>24</v>
      </c>
      <c r="O2002" s="3" t="s">
        <v>25</v>
      </c>
    </row>
    <row r="2003" spans="1:15">
      <c r="A2003" s="3" t="s">
        <v>15</v>
      </c>
      <c r="B2003" s="3" t="str">
        <f>"FES1162742028"</f>
        <v>FES1162742028</v>
      </c>
      <c r="C2003" s="3" t="s">
        <v>1572</v>
      </c>
      <c r="D2003" s="3">
        <v>1</v>
      </c>
      <c r="E2003" s="3" t="str">
        <f>"2170733537"</f>
        <v>2170733537</v>
      </c>
      <c r="F2003" s="3" t="s">
        <v>17</v>
      </c>
      <c r="G2003" s="3" t="s">
        <v>18</v>
      </c>
      <c r="H2003" s="3" t="s">
        <v>19</v>
      </c>
      <c r="I2003" s="3" t="s">
        <v>20</v>
      </c>
      <c r="J2003" s="3" t="s">
        <v>446</v>
      </c>
      <c r="K2003" s="3" t="s">
        <v>1660</v>
      </c>
      <c r="L2003" s="4">
        <v>0.53402777777777777</v>
      </c>
      <c r="M2003" s="3" t="s">
        <v>666</v>
      </c>
      <c r="N2003" s="3" t="s">
        <v>24</v>
      </c>
      <c r="O2003" s="3" t="s">
        <v>25</v>
      </c>
    </row>
    <row r="2004" spans="1:15">
      <c r="A2004" s="3" t="s">
        <v>15</v>
      </c>
      <c r="B2004" s="3" t="str">
        <f>"FES1162741944"</f>
        <v>FES1162741944</v>
      </c>
      <c r="C2004" s="3" t="s">
        <v>1572</v>
      </c>
      <c r="D2004" s="3">
        <v>1</v>
      </c>
      <c r="E2004" s="3" t="str">
        <f>"2170733420"</f>
        <v>2170733420</v>
      </c>
      <c r="F2004" s="3" t="s">
        <v>17</v>
      </c>
      <c r="G2004" s="3" t="s">
        <v>18</v>
      </c>
      <c r="H2004" s="3" t="s">
        <v>18</v>
      </c>
      <c r="I2004" s="3" t="s">
        <v>171</v>
      </c>
      <c r="J2004" s="3" t="s">
        <v>1599</v>
      </c>
      <c r="K2004" s="3" t="s">
        <v>1660</v>
      </c>
      <c r="L2004" s="4">
        <v>0.35416666666666669</v>
      </c>
      <c r="M2004" s="3" t="s">
        <v>1600</v>
      </c>
      <c r="N2004" s="3" t="s">
        <v>24</v>
      </c>
      <c r="O2004" s="3" t="s">
        <v>25</v>
      </c>
    </row>
    <row r="2005" spans="1:15">
      <c r="A2005" s="3" t="s">
        <v>15</v>
      </c>
      <c r="B2005" s="3" t="str">
        <f>"FES1162742025"</f>
        <v>FES1162742025</v>
      </c>
      <c r="C2005" s="3" t="s">
        <v>1572</v>
      </c>
      <c r="D2005" s="3">
        <v>1</v>
      </c>
      <c r="E2005" s="3" t="str">
        <f>"2170733534"</f>
        <v>2170733534</v>
      </c>
      <c r="F2005" s="3" t="s">
        <v>17</v>
      </c>
      <c r="G2005" s="3" t="s">
        <v>18</v>
      </c>
      <c r="H2005" s="3" t="s">
        <v>100</v>
      </c>
      <c r="I2005" s="3" t="s">
        <v>117</v>
      </c>
      <c r="J2005" s="3" t="s">
        <v>118</v>
      </c>
      <c r="K2005" s="3" t="s">
        <v>1660</v>
      </c>
      <c r="L2005" s="4">
        <v>0.5229166666666667</v>
      </c>
      <c r="M2005" s="3" t="s">
        <v>119</v>
      </c>
      <c r="N2005" s="3" t="s">
        <v>24</v>
      </c>
      <c r="O2005" s="3" t="s">
        <v>25</v>
      </c>
    </row>
    <row r="2006" spans="1:15">
      <c r="A2006" s="3" t="s">
        <v>15</v>
      </c>
      <c r="B2006" s="3" t="str">
        <f>"FES1162741930"</f>
        <v>FES1162741930</v>
      </c>
      <c r="C2006" s="3" t="s">
        <v>1572</v>
      </c>
      <c r="D2006" s="3">
        <v>1</v>
      </c>
      <c r="E2006" s="3" t="str">
        <f>"2170733412"</f>
        <v>2170733412</v>
      </c>
      <c r="F2006" s="3" t="s">
        <v>17</v>
      </c>
      <c r="G2006" s="3" t="s">
        <v>18</v>
      </c>
      <c r="H2006" s="3" t="s">
        <v>18</v>
      </c>
      <c r="I2006" s="3" t="s">
        <v>180</v>
      </c>
      <c r="J2006" s="3" t="s">
        <v>770</v>
      </c>
      <c r="K2006" s="3" t="s">
        <v>1660</v>
      </c>
      <c r="L2006" s="4">
        <v>0.33333333333333331</v>
      </c>
      <c r="M2006" s="3" t="s">
        <v>1720</v>
      </c>
      <c r="N2006" s="3" t="s">
        <v>24</v>
      </c>
      <c r="O2006" s="3" t="s">
        <v>25</v>
      </c>
    </row>
    <row r="2007" spans="1:15">
      <c r="A2007" s="3" t="s">
        <v>15</v>
      </c>
      <c r="B2007" s="3" t="str">
        <f>"FES1162741869"</f>
        <v>FES1162741869</v>
      </c>
      <c r="C2007" s="3" t="s">
        <v>1572</v>
      </c>
      <c r="D2007" s="3">
        <v>1</v>
      </c>
      <c r="E2007" s="3" t="str">
        <f>"2170731142"</f>
        <v>2170731142</v>
      </c>
      <c r="F2007" s="3" t="s">
        <v>17</v>
      </c>
      <c r="G2007" s="3" t="s">
        <v>18</v>
      </c>
      <c r="H2007" s="3" t="s">
        <v>18</v>
      </c>
      <c r="I2007" s="3" t="s">
        <v>171</v>
      </c>
      <c r="J2007" s="3" t="s">
        <v>197</v>
      </c>
      <c r="K2007" s="3" t="s">
        <v>1660</v>
      </c>
      <c r="L2007" s="4">
        <v>0.37777777777777777</v>
      </c>
      <c r="M2007" s="3" t="s">
        <v>1138</v>
      </c>
      <c r="N2007" s="3" t="s">
        <v>24</v>
      </c>
      <c r="O2007" s="3" t="s">
        <v>25</v>
      </c>
    </row>
    <row r="2008" spans="1:15">
      <c r="A2008" s="3" t="s">
        <v>15</v>
      </c>
      <c r="B2008" s="3" t="str">
        <f>"FES1162741955"</f>
        <v>FES1162741955</v>
      </c>
      <c r="C2008" s="3" t="s">
        <v>1572</v>
      </c>
      <c r="D2008" s="3">
        <v>1</v>
      </c>
      <c r="E2008" s="3" t="str">
        <f>"2170733448"</f>
        <v>2170733448</v>
      </c>
      <c r="F2008" s="3" t="s">
        <v>17</v>
      </c>
      <c r="G2008" s="3" t="s">
        <v>18</v>
      </c>
      <c r="H2008" s="3" t="s">
        <v>18</v>
      </c>
      <c r="I2008" s="3" t="s">
        <v>206</v>
      </c>
      <c r="J2008" s="3" t="s">
        <v>207</v>
      </c>
      <c r="K2008" s="3" t="s">
        <v>1660</v>
      </c>
      <c r="L2008" s="4">
        <v>0.33333333333333331</v>
      </c>
      <c r="M2008" s="3" t="s">
        <v>1703</v>
      </c>
      <c r="N2008" s="3" t="s">
        <v>24</v>
      </c>
      <c r="O2008" s="3" t="s">
        <v>25</v>
      </c>
    </row>
    <row r="2009" spans="1:15">
      <c r="A2009" s="3" t="s">
        <v>15</v>
      </c>
      <c r="B2009" s="3" t="str">
        <f>"FES1162742019"</f>
        <v>FES1162742019</v>
      </c>
      <c r="C2009" s="3" t="s">
        <v>1572</v>
      </c>
      <c r="D2009" s="3">
        <v>1</v>
      </c>
      <c r="E2009" s="3" t="str">
        <f>"2170733528"</f>
        <v>2170733528</v>
      </c>
      <c r="F2009" s="3" t="s">
        <v>17</v>
      </c>
      <c r="G2009" s="3" t="s">
        <v>18</v>
      </c>
      <c r="H2009" s="3" t="s">
        <v>100</v>
      </c>
      <c r="I2009" s="3" t="s">
        <v>101</v>
      </c>
      <c r="J2009" s="3" t="s">
        <v>1612</v>
      </c>
      <c r="K2009" s="3" t="s">
        <v>1660</v>
      </c>
      <c r="L2009" s="4">
        <v>0.42638888888888887</v>
      </c>
      <c r="M2009" s="3" t="s">
        <v>1324</v>
      </c>
      <c r="N2009" s="3" t="s">
        <v>24</v>
      </c>
      <c r="O2009" s="3" t="s">
        <v>25</v>
      </c>
    </row>
    <row r="2010" spans="1:15">
      <c r="A2010" s="3" t="s">
        <v>15</v>
      </c>
      <c r="B2010" s="3" t="str">
        <f>"FES1162741956"</f>
        <v>FES1162741956</v>
      </c>
      <c r="C2010" s="3" t="s">
        <v>1572</v>
      </c>
      <c r="D2010" s="3">
        <v>1</v>
      </c>
      <c r="E2010" s="3" t="str">
        <f>"2170733449"</f>
        <v>2170733449</v>
      </c>
      <c r="F2010" s="3" t="s">
        <v>17</v>
      </c>
      <c r="G2010" s="3" t="s">
        <v>18</v>
      </c>
      <c r="H2010" s="3" t="s">
        <v>18</v>
      </c>
      <c r="I2010" s="3" t="s">
        <v>33</v>
      </c>
      <c r="J2010" s="3" t="s">
        <v>34</v>
      </c>
      <c r="K2010" s="3" t="s">
        <v>1660</v>
      </c>
      <c r="L2010" s="4">
        <v>0.35625000000000001</v>
      </c>
      <c r="M2010" s="3" t="s">
        <v>1721</v>
      </c>
      <c r="N2010" s="3" t="s">
        <v>24</v>
      </c>
      <c r="O2010" s="3" t="s">
        <v>25</v>
      </c>
    </row>
    <row r="2011" spans="1:15">
      <c r="A2011" s="3" t="s">
        <v>15</v>
      </c>
      <c r="B2011" s="3" t="str">
        <f>"FES1162742012"</f>
        <v>FES1162742012</v>
      </c>
      <c r="C2011" s="3" t="s">
        <v>1572</v>
      </c>
      <c r="D2011" s="3">
        <v>1</v>
      </c>
      <c r="E2011" s="3" t="str">
        <f>"2170733516"</f>
        <v>2170733516</v>
      </c>
      <c r="F2011" s="3" t="s">
        <v>17</v>
      </c>
      <c r="G2011" s="3" t="s">
        <v>18</v>
      </c>
      <c r="H2011" s="3" t="s">
        <v>100</v>
      </c>
      <c r="I2011" s="3" t="s">
        <v>101</v>
      </c>
      <c r="J2011" s="3" t="s">
        <v>131</v>
      </c>
      <c r="K2011" s="3" t="s">
        <v>1660</v>
      </c>
      <c r="L2011" s="4">
        <v>0.34930555555555554</v>
      </c>
      <c r="M2011" s="3" t="s">
        <v>132</v>
      </c>
      <c r="N2011" s="3" t="s">
        <v>24</v>
      </c>
      <c r="O2011" s="3" t="s">
        <v>25</v>
      </c>
    </row>
    <row r="2012" spans="1:15">
      <c r="A2012" s="3" t="s">
        <v>15</v>
      </c>
      <c r="B2012" s="3" t="str">
        <f>"FES1162741710"</f>
        <v>FES1162741710</v>
      </c>
      <c r="C2012" s="3" t="s">
        <v>1572</v>
      </c>
      <c r="D2012" s="3">
        <v>1</v>
      </c>
      <c r="E2012" s="3" t="str">
        <f>"2170731299"</f>
        <v>2170731299</v>
      </c>
      <c r="F2012" s="3" t="s">
        <v>17</v>
      </c>
      <c r="G2012" s="3" t="s">
        <v>18</v>
      </c>
      <c r="H2012" s="3" t="s">
        <v>18</v>
      </c>
      <c r="I2012" s="3" t="s">
        <v>171</v>
      </c>
      <c r="J2012" s="3" t="s">
        <v>189</v>
      </c>
      <c r="K2012" s="3" t="s">
        <v>1660</v>
      </c>
      <c r="L2012" s="4">
        <v>0.33333333333333331</v>
      </c>
      <c r="M2012" s="3" t="s">
        <v>1722</v>
      </c>
      <c r="N2012" s="3" t="s">
        <v>24</v>
      </c>
      <c r="O2012" s="3" t="s">
        <v>25</v>
      </c>
    </row>
    <row r="2013" spans="1:15">
      <c r="A2013" s="3" t="s">
        <v>15</v>
      </c>
      <c r="B2013" s="3" t="str">
        <f>"FES1162741932"</f>
        <v>FES1162741932</v>
      </c>
      <c r="C2013" s="3" t="s">
        <v>1572</v>
      </c>
      <c r="D2013" s="3">
        <v>1</v>
      </c>
      <c r="E2013" s="3" t="str">
        <f>"2170733418"</f>
        <v>2170733418</v>
      </c>
      <c r="F2013" s="3" t="s">
        <v>17</v>
      </c>
      <c r="G2013" s="3" t="s">
        <v>18</v>
      </c>
      <c r="H2013" s="3" t="s">
        <v>18</v>
      </c>
      <c r="I2013" s="3" t="s">
        <v>171</v>
      </c>
      <c r="J2013" s="3" t="s">
        <v>204</v>
      </c>
      <c r="K2013" s="3" t="s">
        <v>1660</v>
      </c>
      <c r="L2013" s="4">
        <v>0.33333333333333331</v>
      </c>
      <c r="M2013" s="3" t="s">
        <v>461</v>
      </c>
      <c r="N2013" s="3" t="s">
        <v>24</v>
      </c>
      <c r="O2013" s="3" t="s">
        <v>25</v>
      </c>
    </row>
    <row r="2014" spans="1:15">
      <c r="A2014" s="3" t="s">
        <v>15</v>
      </c>
      <c r="B2014" s="3" t="str">
        <f>"FES1162742031"</f>
        <v>FES1162742031</v>
      </c>
      <c r="C2014" s="3" t="s">
        <v>1572</v>
      </c>
      <c r="D2014" s="3">
        <v>1</v>
      </c>
      <c r="E2014" s="3" t="str">
        <f>"2170733543"</f>
        <v>2170733543</v>
      </c>
      <c r="F2014" s="3" t="s">
        <v>17</v>
      </c>
      <c r="G2014" s="3" t="s">
        <v>18</v>
      </c>
      <c r="H2014" s="3" t="s">
        <v>18</v>
      </c>
      <c r="I2014" s="3" t="s">
        <v>453</v>
      </c>
      <c r="J2014" s="3" t="s">
        <v>454</v>
      </c>
      <c r="K2014" s="3" t="s">
        <v>1660</v>
      </c>
      <c r="L2014" s="4">
        <v>0.33333333333333331</v>
      </c>
      <c r="M2014" s="3" t="s">
        <v>182</v>
      </c>
      <c r="N2014" s="3" t="s">
        <v>24</v>
      </c>
      <c r="O2014" s="3" t="s">
        <v>25</v>
      </c>
    </row>
    <row r="2015" spans="1:15">
      <c r="A2015" s="3" t="s">
        <v>15</v>
      </c>
      <c r="B2015" s="3" t="str">
        <f>"FES1162741917"</f>
        <v>FES1162741917</v>
      </c>
      <c r="C2015" s="3" t="s">
        <v>1572</v>
      </c>
      <c r="D2015" s="3">
        <v>1</v>
      </c>
      <c r="E2015" s="3" t="str">
        <f>"2170733381"</f>
        <v>2170733381</v>
      </c>
      <c r="F2015" s="3" t="s">
        <v>17</v>
      </c>
      <c r="G2015" s="3" t="s">
        <v>18</v>
      </c>
      <c r="H2015" s="3" t="s">
        <v>18</v>
      </c>
      <c r="I2015" s="3" t="s">
        <v>29</v>
      </c>
      <c r="J2015" s="3" t="s">
        <v>1319</v>
      </c>
      <c r="K2015" s="3" t="s">
        <v>1660</v>
      </c>
      <c r="L2015" s="4">
        <v>0.40972222222222227</v>
      </c>
      <c r="M2015" s="3" t="s">
        <v>1320</v>
      </c>
      <c r="N2015" s="3" t="s">
        <v>24</v>
      </c>
      <c r="O2015" s="3" t="s">
        <v>25</v>
      </c>
    </row>
    <row r="2016" spans="1:15">
      <c r="A2016" s="3" t="s">
        <v>15</v>
      </c>
      <c r="B2016" s="3" t="str">
        <f>"FES1162741864"</f>
        <v>FES1162741864</v>
      </c>
      <c r="C2016" s="3" t="s">
        <v>1572</v>
      </c>
      <c r="D2016" s="3">
        <v>1</v>
      </c>
      <c r="E2016" s="3" t="str">
        <f>"21702731002"</f>
        <v>21702731002</v>
      </c>
      <c r="F2016" s="3" t="s">
        <v>17</v>
      </c>
      <c r="G2016" s="3" t="s">
        <v>18</v>
      </c>
      <c r="H2016" s="3" t="s">
        <v>18</v>
      </c>
      <c r="I2016" s="3" t="s">
        <v>291</v>
      </c>
      <c r="J2016" s="3" t="s">
        <v>816</v>
      </c>
      <c r="K2016" s="3" t="s">
        <v>1660</v>
      </c>
      <c r="L2016" s="4">
        <v>0.40902777777777777</v>
      </c>
      <c r="M2016" s="3" t="s">
        <v>1723</v>
      </c>
      <c r="N2016" s="3" t="s">
        <v>24</v>
      </c>
      <c r="O2016" s="3" t="s">
        <v>25</v>
      </c>
    </row>
    <row r="2017" spans="1:15">
      <c r="A2017" s="3" t="s">
        <v>15</v>
      </c>
      <c r="B2017" s="3" t="str">
        <f>"FES1162742037"</f>
        <v>FES1162742037</v>
      </c>
      <c r="C2017" s="3" t="s">
        <v>1572</v>
      </c>
      <c r="D2017" s="3">
        <v>1</v>
      </c>
      <c r="E2017" s="3" t="str">
        <f>"2170733552"</f>
        <v>2170733552</v>
      </c>
      <c r="F2017" s="3" t="s">
        <v>17</v>
      </c>
      <c r="G2017" s="3" t="s">
        <v>18</v>
      </c>
      <c r="H2017" s="3" t="s">
        <v>100</v>
      </c>
      <c r="I2017" s="3" t="s">
        <v>144</v>
      </c>
      <c r="J2017" s="3" t="s">
        <v>378</v>
      </c>
      <c r="K2017" s="3" t="s">
        <v>1660</v>
      </c>
      <c r="L2017" s="4">
        <v>0.43541666666666662</v>
      </c>
      <c r="M2017" s="3" t="s">
        <v>1724</v>
      </c>
      <c r="N2017" s="3" t="s">
        <v>24</v>
      </c>
      <c r="O2017" s="3" t="s">
        <v>25</v>
      </c>
    </row>
    <row r="2018" spans="1:15">
      <c r="A2018" s="3" t="s">
        <v>15</v>
      </c>
      <c r="B2018" s="3" t="str">
        <f>"FES1162741862"</f>
        <v>FES1162741862</v>
      </c>
      <c r="C2018" s="3" t="s">
        <v>1572</v>
      </c>
      <c r="D2018" s="3">
        <v>1</v>
      </c>
      <c r="E2018" s="3" t="str">
        <f>"2170728917"</f>
        <v>2170728917</v>
      </c>
      <c r="F2018" s="3" t="s">
        <v>17</v>
      </c>
      <c r="G2018" s="3" t="s">
        <v>18</v>
      </c>
      <c r="H2018" s="3" t="s">
        <v>18</v>
      </c>
      <c r="I2018" s="3" t="s">
        <v>206</v>
      </c>
      <c r="J2018" s="3" t="s">
        <v>399</v>
      </c>
      <c r="K2018" s="3" t="s">
        <v>1666</v>
      </c>
      <c r="L2018" s="4">
        <v>0.43055555555555558</v>
      </c>
      <c r="M2018" s="3" t="s">
        <v>400</v>
      </c>
      <c r="N2018" s="3" t="s">
        <v>24</v>
      </c>
      <c r="O2018" s="3" t="s">
        <v>25</v>
      </c>
    </row>
    <row r="2019" spans="1:15">
      <c r="A2019" s="3" t="s">
        <v>15</v>
      </c>
      <c r="B2019" s="3" t="str">
        <f>"FES1162741876"</f>
        <v>FES1162741876</v>
      </c>
      <c r="C2019" s="3" t="s">
        <v>1572</v>
      </c>
      <c r="D2019" s="3">
        <v>1</v>
      </c>
      <c r="E2019" s="3" t="str">
        <f>"2170731289"</f>
        <v>2170731289</v>
      </c>
      <c r="F2019" s="3" t="s">
        <v>17</v>
      </c>
      <c r="G2019" s="3" t="s">
        <v>18</v>
      </c>
      <c r="H2019" s="3" t="s">
        <v>18</v>
      </c>
      <c r="I2019" s="3" t="s">
        <v>222</v>
      </c>
      <c r="J2019" s="3" t="s">
        <v>397</v>
      </c>
      <c r="K2019" s="3" t="s">
        <v>1660</v>
      </c>
      <c r="L2019" s="4">
        <v>0.36805555555555558</v>
      </c>
      <c r="M2019" s="3" t="s">
        <v>179</v>
      </c>
      <c r="N2019" s="3" t="s">
        <v>24</v>
      </c>
      <c r="O2019" s="3" t="s">
        <v>25</v>
      </c>
    </row>
    <row r="2020" spans="1:15">
      <c r="A2020" s="3" t="s">
        <v>15</v>
      </c>
      <c r="B2020" s="3" t="str">
        <f>"FES1162741969"</f>
        <v>FES1162741969</v>
      </c>
      <c r="C2020" s="3" t="s">
        <v>1572</v>
      </c>
      <c r="D2020" s="3">
        <v>1</v>
      </c>
      <c r="E2020" s="3" t="str">
        <f>"2170733107"</f>
        <v>2170733107</v>
      </c>
      <c r="F2020" s="3" t="s">
        <v>17</v>
      </c>
      <c r="G2020" s="3" t="s">
        <v>18</v>
      </c>
      <c r="H2020" s="3" t="s">
        <v>100</v>
      </c>
      <c r="I2020" s="3" t="s">
        <v>101</v>
      </c>
      <c r="J2020" s="3" t="s">
        <v>318</v>
      </c>
      <c r="K2020" s="3" t="s">
        <v>1660</v>
      </c>
      <c r="L2020" s="4">
        <v>0.41666666666666669</v>
      </c>
      <c r="M2020" s="3" t="s">
        <v>1717</v>
      </c>
      <c r="N2020" s="3" t="s">
        <v>24</v>
      </c>
      <c r="O2020" s="3" t="s">
        <v>25</v>
      </c>
    </row>
    <row r="2021" spans="1:15">
      <c r="A2021" s="3" t="s">
        <v>15</v>
      </c>
      <c r="B2021" s="3" t="str">
        <f>"RFES1162741447"</f>
        <v>RFES1162741447</v>
      </c>
      <c r="C2021" s="3" t="s">
        <v>1572</v>
      </c>
      <c r="D2021" s="3">
        <v>1</v>
      </c>
      <c r="E2021" s="3" t="str">
        <f>"2170732751"</f>
        <v>2170732751</v>
      </c>
      <c r="F2021" s="3" t="s">
        <v>17</v>
      </c>
      <c r="G2021" s="3" t="s">
        <v>18</v>
      </c>
      <c r="H2021" s="3" t="s">
        <v>18</v>
      </c>
      <c r="I2021" s="3" t="s">
        <v>29</v>
      </c>
      <c r="J2021" s="3" t="s">
        <v>30</v>
      </c>
      <c r="K2021" s="3" t="s">
        <v>1660</v>
      </c>
      <c r="L2021" s="4">
        <v>0.34513888888888888</v>
      </c>
      <c r="M2021" s="3" t="s">
        <v>777</v>
      </c>
      <c r="N2021" s="3" t="s">
        <v>24</v>
      </c>
      <c r="O2021" s="3" t="s">
        <v>25</v>
      </c>
    </row>
    <row r="2022" spans="1:15">
      <c r="A2022" s="3" t="s">
        <v>15</v>
      </c>
      <c r="B2022" s="3" t="str">
        <f>"RFES1162741068"</f>
        <v>RFES1162741068</v>
      </c>
      <c r="C2022" s="3" t="s">
        <v>1572</v>
      </c>
      <c r="D2022" s="3">
        <v>1</v>
      </c>
      <c r="E2022" s="3" t="str">
        <f>"2170732751"</f>
        <v>2170732751</v>
      </c>
      <c r="F2022" s="3" t="s">
        <v>17</v>
      </c>
      <c r="G2022" s="3" t="s">
        <v>18</v>
      </c>
      <c r="H2022" s="3" t="s">
        <v>18</v>
      </c>
      <c r="I2022" s="3" t="s">
        <v>29</v>
      </c>
      <c r="J2022" s="3" t="s">
        <v>30</v>
      </c>
      <c r="K2022" s="3" t="s">
        <v>1660</v>
      </c>
      <c r="L2022" s="4">
        <v>0.34513888888888888</v>
      </c>
      <c r="M2022" s="3" t="s">
        <v>777</v>
      </c>
      <c r="N2022" s="3" t="s">
        <v>24</v>
      </c>
      <c r="O2022" s="3" t="s">
        <v>25</v>
      </c>
    </row>
    <row r="2023" spans="1:15">
      <c r="A2023" s="3" t="s">
        <v>15</v>
      </c>
      <c r="B2023" s="3" t="str">
        <f>"FES1162741906"</f>
        <v>FES1162741906</v>
      </c>
      <c r="C2023" s="3" t="s">
        <v>1572</v>
      </c>
      <c r="D2023" s="3">
        <v>1</v>
      </c>
      <c r="E2023" s="3" t="str">
        <f>"2170732938"</f>
        <v>2170732938</v>
      </c>
      <c r="F2023" s="3" t="s">
        <v>17</v>
      </c>
      <c r="G2023" s="3" t="s">
        <v>18</v>
      </c>
      <c r="H2023" s="3" t="s">
        <v>18</v>
      </c>
      <c r="I2023" s="3" t="s">
        <v>33</v>
      </c>
      <c r="J2023" s="3" t="s">
        <v>34</v>
      </c>
      <c r="K2023" s="3" t="s">
        <v>1660</v>
      </c>
      <c r="L2023" s="4">
        <v>0.35625000000000001</v>
      </c>
      <c r="M2023" s="3" t="s">
        <v>344</v>
      </c>
      <c r="N2023" s="3" t="s">
        <v>24</v>
      </c>
      <c r="O2023" s="3" t="s">
        <v>25</v>
      </c>
    </row>
    <row r="2024" spans="1:15">
      <c r="A2024" s="3" t="s">
        <v>15</v>
      </c>
      <c r="B2024" s="3" t="str">
        <f>"FES1162742021"</f>
        <v>FES1162742021</v>
      </c>
      <c r="C2024" s="3" t="s">
        <v>1572</v>
      </c>
      <c r="D2024" s="3">
        <v>1</v>
      </c>
      <c r="E2024" s="3" t="str">
        <f>"2170733530"</f>
        <v>2170733530</v>
      </c>
      <c r="F2024" s="3" t="s">
        <v>17</v>
      </c>
      <c r="G2024" s="3" t="s">
        <v>18</v>
      </c>
      <c r="H2024" s="3" t="s">
        <v>215</v>
      </c>
      <c r="I2024" s="3" t="s">
        <v>1090</v>
      </c>
      <c r="J2024" s="3" t="s">
        <v>1091</v>
      </c>
      <c r="K2024" s="3" t="s">
        <v>1660</v>
      </c>
      <c r="L2024" s="4">
        <v>0.49236111111111108</v>
      </c>
      <c r="M2024" s="3" t="s">
        <v>1725</v>
      </c>
      <c r="N2024" s="3" t="s">
        <v>24</v>
      </c>
      <c r="O2024" s="3" t="s">
        <v>25</v>
      </c>
    </row>
    <row r="2025" spans="1:15">
      <c r="A2025" s="3" t="s">
        <v>15</v>
      </c>
      <c r="B2025" s="3" t="str">
        <f>"FES1162742026"</f>
        <v>FES1162742026</v>
      </c>
      <c r="C2025" s="3" t="s">
        <v>1572</v>
      </c>
      <c r="D2025" s="3">
        <v>1</v>
      </c>
      <c r="E2025" s="3" t="str">
        <f>"2170733535"</f>
        <v>2170733535</v>
      </c>
      <c r="F2025" s="3" t="s">
        <v>17</v>
      </c>
      <c r="G2025" s="3" t="s">
        <v>18</v>
      </c>
      <c r="H2025" s="3" t="s">
        <v>46</v>
      </c>
      <c r="I2025" s="3" t="s">
        <v>47</v>
      </c>
      <c r="J2025" s="3" t="s">
        <v>351</v>
      </c>
      <c r="K2025" s="3" t="s">
        <v>1660</v>
      </c>
      <c r="L2025" s="4">
        <v>0.43055555555555558</v>
      </c>
      <c r="M2025" s="3" t="s">
        <v>1726</v>
      </c>
      <c r="N2025" s="3" t="s">
        <v>24</v>
      </c>
      <c r="O2025" s="3" t="s">
        <v>25</v>
      </c>
    </row>
    <row r="2026" spans="1:15">
      <c r="A2026" s="3" t="s">
        <v>15</v>
      </c>
      <c r="B2026" s="3" t="str">
        <f>"FES1162741948"</f>
        <v>FES1162741948</v>
      </c>
      <c r="C2026" s="3" t="s">
        <v>1572</v>
      </c>
      <c r="D2026" s="3">
        <v>1</v>
      </c>
      <c r="E2026" s="3" t="str">
        <f>"2170733440"</f>
        <v>2170733440</v>
      </c>
      <c r="F2026" s="3" t="s">
        <v>17</v>
      </c>
      <c r="G2026" s="3" t="s">
        <v>18</v>
      </c>
      <c r="H2026" s="3" t="s">
        <v>18</v>
      </c>
      <c r="I2026" s="3" t="s">
        <v>29</v>
      </c>
      <c r="J2026" s="3" t="s">
        <v>1316</v>
      </c>
      <c r="K2026" s="3" t="s">
        <v>1660</v>
      </c>
      <c r="L2026" s="4">
        <v>0.3263888888888889</v>
      </c>
      <c r="M2026" s="3" t="s">
        <v>897</v>
      </c>
      <c r="N2026" s="3" t="s">
        <v>24</v>
      </c>
      <c r="O2026" s="3" t="s">
        <v>25</v>
      </c>
    </row>
    <row r="2027" spans="1:15">
      <c r="A2027" s="3" t="s">
        <v>15</v>
      </c>
      <c r="B2027" s="3" t="str">
        <f>"FES1162742039"</f>
        <v>FES1162742039</v>
      </c>
      <c r="C2027" s="3" t="s">
        <v>1572</v>
      </c>
      <c r="D2027" s="3">
        <v>1</v>
      </c>
      <c r="E2027" s="3" t="str">
        <f>"2170733555"</f>
        <v>2170733555</v>
      </c>
      <c r="F2027" s="3" t="s">
        <v>17</v>
      </c>
      <c r="G2027" s="3" t="s">
        <v>18</v>
      </c>
      <c r="H2027" s="3" t="s">
        <v>100</v>
      </c>
      <c r="I2027" s="3" t="s">
        <v>101</v>
      </c>
      <c r="J2027" s="3" t="s">
        <v>131</v>
      </c>
      <c r="K2027" s="3" t="s">
        <v>1660</v>
      </c>
      <c r="L2027" s="4">
        <v>0.35000000000000003</v>
      </c>
      <c r="M2027" s="3" t="s">
        <v>132</v>
      </c>
      <c r="N2027" s="3" t="s">
        <v>24</v>
      </c>
      <c r="O2027" s="3" t="s">
        <v>25</v>
      </c>
    </row>
    <row r="2028" spans="1:15">
      <c r="A2028" s="3" t="s">
        <v>15</v>
      </c>
      <c r="B2028" s="3" t="str">
        <f>"FES1162742046"</f>
        <v>FES1162742046</v>
      </c>
      <c r="C2028" s="3" t="s">
        <v>1572</v>
      </c>
      <c r="D2028" s="3">
        <v>1</v>
      </c>
      <c r="E2028" s="3" t="str">
        <f>"2170733539"</f>
        <v>2170733539</v>
      </c>
      <c r="F2028" s="3" t="s">
        <v>17</v>
      </c>
      <c r="G2028" s="3" t="s">
        <v>18</v>
      </c>
      <c r="H2028" s="3" t="s">
        <v>100</v>
      </c>
      <c r="I2028" s="3" t="s">
        <v>117</v>
      </c>
      <c r="J2028" s="3" t="s">
        <v>784</v>
      </c>
      <c r="K2028" s="3" t="s">
        <v>1660</v>
      </c>
      <c r="L2028" s="4">
        <v>0.50694444444444442</v>
      </c>
      <c r="M2028" s="3" t="s">
        <v>785</v>
      </c>
      <c r="N2028" s="3" t="s">
        <v>24</v>
      </c>
      <c r="O2028" s="3" t="s">
        <v>25</v>
      </c>
    </row>
    <row r="2029" spans="1:15">
      <c r="A2029" s="3" t="s">
        <v>15</v>
      </c>
      <c r="B2029" s="3" t="str">
        <f>"FES1162741014"</f>
        <v>FES1162741014</v>
      </c>
      <c r="C2029" s="3" t="s">
        <v>1572</v>
      </c>
      <c r="D2029" s="3">
        <v>1</v>
      </c>
      <c r="E2029" s="3" t="str">
        <f>"2170732689"</f>
        <v>2170732689</v>
      </c>
      <c r="F2029" s="3" t="s">
        <v>17</v>
      </c>
      <c r="G2029" s="3" t="s">
        <v>18</v>
      </c>
      <c r="H2029" s="3" t="s">
        <v>100</v>
      </c>
      <c r="I2029" s="3" t="s">
        <v>122</v>
      </c>
      <c r="J2029" s="3" t="s">
        <v>517</v>
      </c>
      <c r="K2029" s="3" t="s">
        <v>1660</v>
      </c>
      <c r="L2029" s="4">
        <v>0.45208333333333334</v>
      </c>
      <c r="M2029" s="3" t="s">
        <v>1727</v>
      </c>
      <c r="N2029" s="3" t="s">
        <v>24</v>
      </c>
      <c r="O2029" s="3" t="s">
        <v>25</v>
      </c>
    </row>
    <row r="2030" spans="1:15">
      <c r="A2030" s="3" t="s">
        <v>15</v>
      </c>
      <c r="B2030" s="3" t="str">
        <f>"FES1162742030"</f>
        <v>FES1162742030</v>
      </c>
      <c r="C2030" s="3" t="s">
        <v>1572</v>
      </c>
      <c r="D2030" s="3">
        <v>1</v>
      </c>
      <c r="E2030" s="3" t="str">
        <f>"2170733542"</f>
        <v>2170733542</v>
      </c>
      <c r="F2030" s="3" t="s">
        <v>17</v>
      </c>
      <c r="G2030" s="3" t="s">
        <v>18</v>
      </c>
      <c r="H2030" s="3" t="s">
        <v>18</v>
      </c>
      <c r="I2030" s="3" t="s">
        <v>29</v>
      </c>
      <c r="J2030" s="3" t="s">
        <v>487</v>
      </c>
      <c r="K2030" s="3" t="s">
        <v>1660</v>
      </c>
      <c r="L2030" s="4">
        <v>0.33333333333333331</v>
      </c>
      <c r="M2030" s="3" t="s">
        <v>1387</v>
      </c>
      <c r="N2030" s="3" t="s">
        <v>24</v>
      </c>
      <c r="O2030" s="3" t="s">
        <v>25</v>
      </c>
    </row>
    <row r="2031" spans="1:15">
      <c r="A2031" s="3" t="s">
        <v>15</v>
      </c>
      <c r="B2031" s="3" t="str">
        <f>"FES1162741879"</f>
        <v>FES1162741879</v>
      </c>
      <c r="C2031" s="3" t="s">
        <v>1572</v>
      </c>
      <c r="D2031" s="3">
        <v>1</v>
      </c>
      <c r="E2031" s="3" t="str">
        <f>"2170731334"</f>
        <v>2170731334</v>
      </c>
      <c r="F2031" s="3" t="s">
        <v>17</v>
      </c>
      <c r="G2031" s="3" t="s">
        <v>18</v>
      </c>
      <c r="H2031" s="3" t="s">
        <v>18</v>
      </c>
      <c r="I2031" s="3" t="s">
        <v>26</v>
      </c>
      <c r="J2031" s="3" t="s">
        <v>1728</v>
      </c>
      <c r="K2031" s="3" t="s">
        <v>1660</v>
      </c>
      <c r="L2031" s="4">
        <v>0.3354166666666667</v>
      </c>
      <c r="M2031" s="3" t="s">
        <v>28</v>
      </c>
      <c r="N2031" s="3" t="s">
        <v>24</v>
      </c>
      <c r="O2031" s="3" t="s">
        <v>25</v>
      </c>
    </row>
    <row r="2032" spans="1:15">
      <c r="A2032" s="3" t="s">
        <v>15</v>
      </c>
      <c r="B2032" s="3" t="str">
        <f>"FES1162741877"</f>
        <v>FES1162741877</v>
      </c>
      <c r="C2032" s="3" t="s">
        <v>1572</v>
      </c>
      <c r="D2032" s="3">
        <v>1</v>
      </c>
      <c r="E2032" s="3" t="str">
        <f>"2170731320"</f>
        <v>2170731320</v>
      </c>
      <c r="F2032" s="3" t="s">
        <v>17</v>
      </c>
      <c r="G2032" s="3" t="s">
        <v>18</v>
      </c>
      <c r="H2032" s="3" t="s">
        <v>18</v>
      </c>
      <c r="I2032" s="3" t="s">
        <v>171</v>
      </c>
      <c r="J2032" s="3" t="s">
        <v>522</v>
      </c>
      <c r="K2032" s="3" t="s">
        <v>1660</v>
      </c>
      <c r="L2032" s="4">
        <v>0.28125</v>
      </c>
      <c r="M2032" s="3" t="s">
        <v>1729</v>
      </c>
      <c r="N2032" s="3" t="s">
        <v>24</v>
      </c>
      <c r="O2032" s="3" t="s">
        <v>25</v>
      </c>
    </row>
    <row r="2033" spans="1:15">
      <c r="A2033" s="3" t="s">
        <v>15</v>
      </c>
      <c r="B2033" s="3" t="str">
        <f>"FES1162742058"</f>
        <v>FES1162742058</v>
      </c>
      <c r="C2033" s="3" t="s">
        <v>1572</v>
      </c>
      <c r="D2033" s="3">
        <v>1</v>
      </c>
      <c r="E2033" s="3" t="str">
        <f>"2170733577"</f>
        <v>2170733577</v>
      </c>
      <c r="F2033" s="3" t="s">
        <v>17</v>
      </c>
      <c r="G2033" s="3" t="s">
        <v>18</v>
      </c>
      <c r="H2033" s="3" t="s">
        <v>36</v>
      </c>
      <c r="I2033" s="3" t="s">
        <v>37</v>
      </c>
      <c r="J2033" s="3" t="s">
        <v>378</v>
      </c>
      <c r="K2033" s="3" t="s">
        <v>1660</v>
      </c>
      <c r="L2033" s="4">
        <v>0.36319444444444443</v>
      </c>
      <c r="M2033" s="3" t="s">
        <v>1730</v>
      </c>
      <c r="N2033" s="3" t="s">
        <v>24</v>
      </c>
      <c r="O2033" s="3" t="s">
        <v>25</v>
      </c>
    </row>
    <row r="2034" spans="1:15">
      <c r="A2034" s="3" t="s">
        <v>15</v>
      </c>
      <c r="B2034" s="3" t="str">
        <f>"FES1162742056"</f>
        <v>FES1162742056</v>
      </c>
      <c r="C2034" s="3" t="s">
        <v>1572</v>
      </c>
      <c r="D2034" s="3">
        <v>1</v>
      </c>
      <c r="E2034" s="3" t="str">
        <f>"2170733578"</f>
        <v>2170733578</v>
      </c>
      <c r="F2034" s="3" t="s">
        <v>17</v>
      </c>
      <c r="G2034" s="3" t="s">
        <v>18</v>
      </c>
      <c r="H2034" s="3" t="s">
        <v>19</v>
      </c>
      <c r="I2034" s="3" t="s">
        <v>20</v>
      </c>
      <c r="J2034" s="3" t="s">
        <v>56</v>
      </c>
      <c r="K2034" s="3" t="s">
        <v>1660</v>
      </c>
      <c r="L2034" s="4">
        <v>0.35347222222222219</v>
      </c>
      <c r="M2034" s="3" t="s">
        <v>57</v>
      </c>
      <c r="N2034" s="3" t="s">
        <v>24</v>
      </c>
      <c r="O2034" s="3" t="s">
        <v>25</v>
      </c>
    </row>
    <row r="2035" spans="1:15">
      <c r="A2035" s="3" t="s">
        <v>15</v>
      </c>
      <c r="B2035" s="3" t="str">
        <f>"FES1162742059"</f>
        <v>FES1162742059</v>
      </c>
      <c r="C2035" s="3" t="s">
        <v>1572</v>
      </c>
      <c r="D2035" s="3">
        <v>1</v>
      </c>
      <c r="E2035" s="3" t="str">
        <f>"2170733579"</f>
        <v>2170733579</v>
      </c>
      <c r="F2035" s="3" t="s">
        <v>17</v>
      </c>
      <c r="G2035" s="3" t="s">
        <v>18</v>
      </c>
      <c r="H2035" s="3" t="s">
        <v>36</v>
      </c>
      <c r="I2035" s="3" t="s">
        <v>174</v>
      </c>
      <c r="J2035" s="3" t="s">
        <v>451</v>
      </c>
      <c r="K2035" s="3" t="s">
        <v>1660</v>
      </c>
      <c r="L2035" s="4">
        <v>0.33333333333333331</v>
      </c>
      <c r="M2035" s="3" t="s">
        <v>452</v>
      </c>
      <c r="N2035" s="3" t="s">
        <v>24</v>
      </c>
      <c r="O2035" s="3" t="s">
        <v>25</v>
      </c>
    </row>
    <row r="2036" spans="1:15">
      <c r="A2036" s="3" t="s">
        <v>15</v>
      </c>
      <c r="B2036" s="3" t="str">
        <f>"FES1162742045"</f>
        <v>FES1162742045</v>
      </c>
      <c r="C2036" s="3" t="s">
        <v>1572</v>
      </c>
      <c r="D2036" s="3">
        <v>1</v>
      </c>
      <c r="E2036" s="3" t="str">
        <f>"2170733311"</f>
        <v>2170733311</v>
      </c>
      <c r="F2036" s="3" t="s">
        <v>17</v>
      </c>
      <c r="G2036" s="3" t="s">
        <v>18</v>
      </c>
      <c r="H2036" s="3" t="s">
        <v>36</v>
      </c>
      <c r="I2036" s="3" t="s">
        <v>1440</v>
      </c>
      <c r="J2036" s="3" t="s">
        <v>1731</v>
      </c>
      <c r="K2036" s="3" t="s">
        <v>1666</v>
      </c>
      <c r="L2036" s="3" t="s">
        <v>1667</v>
      </c>
      <c r="M2036" s="3" t="s">
        <v>1732</v>
      </c>
      <c r="N2036" s="3" t="s">
        <v>24</v>
      </c>
      <c r="O2036" s="3" t="s">
        <v>25</v>
      </c>
    </row>
    <row r="2037" spans="1:15">
      <c r="A2037" s="3" t="s">
        <v>15</v>
      </c>
      <c r="B2037" s="3" t="str">
        <f>"FES1162742003"</f>
        <v>FES1162742003</v>
      </c>
      <c r="C2037" s="3" t="s">
        <v>1572</v>
      </c>
      <c r="D2037" s="3">
        <v>1</v>
      </c>
      <c r="E2037" s="3" t="str">
        <f>"2170733311"</f>
        <v>2170733311</v>
      </c>
      <c r="F2037" s="3" t="s">
        <v>17</v>
      </c>
      <c r="G2037" s="3" t="s">
        <v>18</v>
      </c>
      <c r="H2037" s="3" t="s">
        <v>36</v>
      </c>
      <c r="I2037" s="3" t="s">
        <v>1440</v>
      </c>
      <c r="J2037" s="3" t="s">
        <v>1441</v>
      </c>
      <c r="K2037" s="3" t="s">
        <v>1666</v>
      </c>
      <c r="L2037" s="4">
        <v>0.68611111111111101</v>
      </c>
      <c r="M2037" s="3" t="s">
        <v>1732</v>
      </c>
      <c r="N2037" s="3" t="s">
        <v>24</v>
      </c>
      <c r="O2037" s="3" t="s">
        <v>25</v>
      </c>
    </row>
    <row r="2038" spans="1:15">
      <c r="A2038" s="3" t="s">
        <v>15</v>
      </c>
      <c r="B2038" s="3" t="str">
        <f>"FES1162741926"</f>
        <v>FES1162741926</v>
      </c>
      <c r="C2038" s="3" t="s">
        <v>1572</v>
      </c>
      <c r="D2038" s="3">
        <v>1</v>
      </c>
      <c r="E2038" s="3" t="str">
        <f>"2170733403"</f>
        <v>2170733403</v>
      </c>
      <c r="F2038" s="3" t="s">
        <v>17</v>
      </c>
      <c r="G2038" s="3" t="s">
        <v>18</v>
      </c>
      <c r="H2038" s="3" t="s">
        <v>18</v>
      </c>
      <c r="I2038" s="3" t="s">
        <v>313</v>
      </c>
      <c r="J2038" s="3" t="s">
        <v>694</v>
      </c>
      <c r="K2038" s="3" t="s">
        <v>1660</v>
      </c>
      <c r="L2038" s="4">
        <v>0.41666666666666669</v>
      </c>
      <c r="M2038" s="3" t="s">
        <v>1733</v>
      </c>
      <c r="N2038" s="3" t="s">
        <v>24</v>
      </c>
      <c r="O2038" s="3" t="s">
        <v>25</v>
      </c>
    </row>
    <row r="2039" spans="1:15">
      <c r="A2039" s="3" t="s">
        <v>15</v>
      </c>
      <c r="B2039" s="3" t="str">
        <f>"FES1162742001"</f>
        <v>FES1162742001</v>
      </c>
      <c r="C2039" s="3" t="s">
        <v>1572</v>
      </c>
      <c r="D2039" s="3">
        <v>1</v>
      </c>
      <c r="E2039" s="3" t="str">
        <f>"2170731003"</f>
        <v>2170731003</v>
      </c>
      <c r="F2039" s="3" t="s">
        <v>17</v>
      </c>
      <c r="G2039" s="3" t="s">
        <v>18</v>
      </c>
      <c r="H2039" s="3" t="s">
        <v>537</v>
      </c>
      <c r="I2039" s="3" t="s">
        <v>538</v>
      </c>
      <c r="J2039" s="3" t="s">
        <v>1106</v>
      </c>
      <c r="K2039" s="3" t="s">
        <v>1660</v>
      </c>
      <c r="L2039" s="4">
        <v>0.42083333333333334</v>
      </c>
      <c r="M2039" s="3" t="s">
        <v>1107</v>
      </c>
      <c r="N2039" s="3" t="s">
        <v>24</v>
      </c>
      <c r="O2039" s="3" t="s">
        <v>25</v>
      </c>
    </row>
    <row r="2040" spans="1:15">
      <c r="A2040" s="3" t="s">
        <v>15</v>
      </c>
      <c r="B2040" s="3" t="str">
        <f>"FES1162742004"</f>
        <v>FES1162742004</v>
      </c>
      <c r="C2040" s="3" t="s">
        <v>1572</v>
      </c>
      <c r="D2040" s="3">
        <v>1</v>
      </c>
      <c r="E2040" s="3" t="str">
        <f>"2170733351"</f>
        <v>2170733351</v>
      </c>
      <c r="F2040" s="3" t="s">
        <v>17</v>
      </c>
      <c r="G2040" s="3" t="s">
        <v>18</v>
      </c>
      <c r="H2040" s="3" t="s">
        <v>70</v>
      </c>
      <c r="I2040" s="3" t="s">
        <v>708</v>
      </c>
      <c r="J2040" s="3" t="s">
        <v>709</v>
      </c>
      <c r="K2040" s="3" t="s">
        <v>1660</v>
      </c>
      <c r="L2040" s="4">
        <v>0.66666666666666663</v>
      </c>
      <c r="M2040" s="3" t="s">
        <v>1734</v>
      </c>
      <c r="N2040" s="3" t="s">
        <v>24</v>
      </c>
      <c r="O2040" s="3" t="s">
        <v>25</v>
      </c>
    </row>
    <row r="2041" spans="1:15">
      <c r="A2041" s="3" t="s">
        <v>15</v>
      </c>
      <c r="B2041" s="3" t="str">
        <f>"FES1162742044"</f>
        <v>FES1162742044</v>
      </c>
      <c r="C2041" s="3" t="s">
        <v>1572</v>
      </c>
      <c r="D2041" s="3">
        <v>1</v>
      </c>
      <c r="E2041" s="3" t="str">
        <f>"217073309"</f>
        <v>217073309</v>
      </c>
      <c r="F2041" s="3" t="s">
        <v>17</v>
      </c>
      <c r="G2041" s="3" t="s">
        <v>18</v>
      </c>
      <c r="H2041" s="3" t="s">
        <v>19</v>
      </c>
      <c r="I2041" s="3" t="s">
        <v>20</v>
      </c>
      <c r="J2041" s="3" t="s">
        <v>576</v>
      </c>
      <c r="K2041" s="3" t="s">
        <v>1660</v>
      </c>
      <c r="L2041" s="4">
        <v>0.37847222222222227</v>
      </c>
      <c r="M2041" s="3" t="s">
        <v>1735</v>
      </c>
      <c r="N2041" s="3" t="s">
        <v>24</v>
      </c>
      <c r="O2041" s="3" t="s">
        <v>25</v>
      </c>
    </row>
    <row r="2042" spans="1:15">
      <c r="A2042" s="3" t="s">
        <v>15</v>
      </c>
      <c r="B2042" s="3" t="str">
        <f>"FES1162742048"</f>
        <v>FES1162742048</v>
      </c>
      <c r="C2042" s="3" t="s">
        <v>1572</v>
      </c>
      <c r="D2042" s="3">
        <v>3</v>
      </c>
      <c r="E2042" s="3" t="str">
        <f>"2170733567"</f>
        <v>2170733567</v>
      </c>
      <c r="F2042" s="3" t="s">
        <v>17</v>
      </c>
      <c r="G2042" s="3" t="s">
        <v>18</v>
      </c>
      <c r="H2042" s="3" t="s">
        <v>18</v>
      </c>
      <c r="I2042" s="3" t="s">
        <v>580</v>
      </c>
      <c r="J2042" s="3" t="s">
        <v>1453</v>
      </c>
      <c r="K2042" s="3" t="s">
        <v>1666</v>
      </c>
      <c r="L2042" s="4">
        <v>0.63611111111111118</v>
      </c>
      <c r="M2042" s="3" t="s">
        <v>321</v>
      </c>
      <c r="N2042" s="3" t="s">
        <v>24</v>
      </c>
      <c r="O2042" s="3" t="s">
        <v>25</v>
      </c>
    </row>
    <row r="2043" spans="1:15">
      <c r="A2043" s="3" t="s">
        <v>15</v>
      </c>
      <c r="B2043" s="3" t="str">
        <f>"FES1162741866"</f>
        <v>FES1162741866</v>
      </c>
      <c r="C2043" s="3" t="s">
        <v>1572</v>
      </c>
      <c r="D2043" s="3">
        <v>1</v>
      </c>
      <c r="E2043" s="3" t="str">
        <f>"2170731110"</f>
        <v>2170731110</v>
      </c>
      <c r="F2043" s="3" t="s">
        <v>17</v>
      </c>
      <c r="G2043" s="3" t="s">
        <v>18</v>
      </c>
      <c r="H2043" s="3" t="s">
        <v>18</v>
      </c>
      <c r="I2043" s="3" t="s">
        <v>33</v>
      </c>
      <c r="J2043" s="3" t="s">
        <v>284</v>
      </c>
      <c r="K2043" s="3" t="s">
        <v>1660</v>
      </c>
      <c r="L2043" s="4">
        <v>0.4375</v>
      </c>
      <c r="M2043" s="3" t="s">
        <v>488</v>
      </c>
      <c r="N2043" s="3" t="s">
        <v>24</v>
      </c>
      <c r="O2043" s="3" t="s">
        <v>25</v>
      </c>
    </row>
    <row r="2044" spans="1:15">
      <c r="A2044" s="3" t="s">
        <v>15</v>
      </c>
      <c r="B2044" s="3" t="str">
        <f>"FES1162741918"</f>
        <v>FES1162741918</v>
      </c>
      <c r="C2044" s="3" t="s">
        <v>1572</v>
      </c>
      <c r="D2044" s="3">
        <v>1</v>
      </c>
      <c r="E2044" s="3" t="str">
        <f>"2170733382"</f>
        <v>2170733382</v>
      </c>
      <c r="F2044" s="3" t="s">
        <v>17</v>
      </c>
      <c r="G2044" s="3" t="s">
        <v>18</v>
      </c>
      <c r="H2044" s="3" t="s">
        <v>18</v>
      </c>
      <c r="I2044" s="3" t="s">
        <v>33</v>
      </c>
      <c r="J2044" s="3" t="s">
        <v>229</v>
      </c>
      <c r="K2044" s="3" t="s">
        <v>1660</v>
      </c>
      <c r="L2044" s="4">
        <v>0.4375</v>
      </c>
      <c r="M2044" s="3" t="s">
        <v>230</v>
      </c>
      <c r="N2044" s="3" t="s">
        <v>24</v>
      </c>
      <c r="O2044" s="3" t="s">
        <v>25</v>
      </c>
    </row>
    <row r="2045" spans="1:15">
      <c r="A2045" s="3" t="s">
        <v>15</v>
      </c>
      <c r="B2045" s="3" t="str">
        <f>"FES1162741971"</f>
        <v>FES1162741971</v>
      </c>
      <c r="C2045" s="3" t="s">
        <v>1572</v>
      </c>
      <c r="D2045" s="3">
        <v>1</v>
      </c>
      <c r="E2045" s="3" t="str">
        <f>"2170733463"</f>
        <v>2170733463</v>
      </c>
      <c r="F2045" s="3" t="s">
        <v>17</v>
      </c>
      <c r="G2045" s="3" t="s">
        <v>18</v>
      </c>
      <c r="H2045" s="3" t="s">
        <v>18</v>
      </c>
      <c r="I2045" s="3" t="s">
        <v>338</v>
      </c>
      <c r="J2045" s="3" t="s">
        <v>512</v>
      </c>
      <c r="K2045" s="3" t="s">
        <v>1660</v>
      </c>
      <c r="L2045" s="4">
        <v>0.35069444444444442</v>
      </c>
      <c r="M2045" s="3" t="s">
        <v>1736</v>
      </c>
      <c r="N2045" s="3" t="s">
        <v>24</v>
      </c>
      <c r="O2045" s="3" t="s">
        <v>25</v>
      </c>
    </row>
    <row r="2046" spans="1:15">
      <c r="A2046" s="3" t="s">
        <v>15</v>
      </c>
      <c r="B2046" s="3" t="str">
        <f>"FES1162742067"</f>
        <v>FES1162742067</v>
      </c>
      <c r="C2046" s="3" t="s">
        <v>1572</v>
      </c>
      <c r="D2046" s="3">
        <v>1</v>
      </c>
      <c r="E2046" s="3" t="str">
        <f>"2170733587"</f>
        <v>2170733587</v>
      </c>
      <c r="F2046" s="3" t="s">
        <v>17</v>
      </c>
      <c r="G2046" s="3" t="s">
        <v>18</v>
      </c>
      <c r="H2046" s="3" t="s">
        <v>19</v>
      </c>
      <c r="I2046" s="3" t="s">
        <v>20</v>
      </c>
      <c r="J2046" s="3" t="s">
        <v>446</v>
      </c>
      <c r="K2046" s="3" t="s">
        <v>1660</v>
      </c>
      <c r="L2046" s="4">
        <v>0.53749999999999998</v>
      </c>
      <c r="M2046" s="3" t="s">
        <v>666</v>
      </c>
      <c r="N2046" s="3" t="s">
        <v>24</v>
      </c>
      <c r="O2046" s="3" t="s">
        <v>25</v>
      </c>
    </row>
    <row r="2047" spans="1:15">
      <c r="A2047" s="3" t="s">
        <v>15</v>
      </c>
      <c r="B2047" s="3" t="str">
        <f>"FES1162742068"</f>
        <v>FES1162742068</v>
      </c>
      <c r="C2047" s="3" t="s">
        <v>1572</v>
      </c>
      <c r="D2047" s="3">
        <v>1</v>
      </c>
      <c r="E2047" s="3" t="str">
        <f>"2170733589"</f>
        <v>2170733589</v>
      </c>
      <c r="F2047" s="3" t="s">
        <v>17</v>
      </c>
      <c r="G2047" s="3" t="s">
        <v>18</v>
      </c>
      <c r="H2047" s="3" t="s">
        <v>66</v>
      </c>
      <c r="I2047" s="3" t="s">
        <v>869</v>
      </c>
      <c r="J2047" s="3" t="s">
        <v>1737</v>
      </c>
      <c r="K2047" s="3" t="s">
        <v>1660</v>
      </c>
      <c r="L2047" s="4">
        <v>0.39027777777777778</v>
      </c>
      <c r="M2047" s="3" t="s">
        <v>1738</v>
      </c>
      <c r="N2047" s="3" t="s">
        <v>24</v>
      </c>
      <c r="O2047" s="3" t="s">
        <v>25</v>
      </c>
    </row>
    <row r="2048" spans="1:15">
      <c r="A2048" s="3" t="s">
        <v>15</v>
      </c>
      <c r="B2048" s="3" t="str">
        <f>"FES1162742070"</f>
        <v>FES1162742070</v>
      </c>
      <c r="C2048" s="3" t="s">
        <v>1572</v>
      </c>
      <c r="D2048" s="3">
        <v>1</v>
      </c>
      <c r="E2048" s="3" t="str">
        <f>"2170733590"</f>
        <v>2170733590</v>
      </c>
      <c r="F2048" s="3" t="s">
        <v>17</v>
      </c>
      <c r="G2048" s="3" t="s">
        <v>18</v>
      </c>
      <c r="H2048" s="3" t="s">
        <v>46</v>
      </c>
      <c r="I2048" s="3" t="s">
        <v>47</v>
      </c>
      <c r="J2048" s="3" t="s">
        <v>62</v>
      </c>
      <c r="K2048" s="3" t="s">
        <v>1660</v>
      </c>
      <c r="L2048" s="4">
        <v>0.43333333333333335</v>
      </c>
      <c r="M2048" s="3" t="s">
        <v>63</v>
      </c>
      <c r="N2048" s="3" t="s">
        <v>24</v>
      </c>
      <c r="O2048" s="3" t="s">
        <v>25</v>
      </c>
    </row>
    <row r="2049" spans="1:15">
      <c r="A2049" s="3" t="s">
        <v>15</v>
      </c>
      <c r="B2049" s="3" t="str">
        <f>"FES1162742055"</f>
        <v>FES1162742055</v>
      </c>
      <c r="C2049" s="3" t="s">
        <v>1572</v>
      </c>
      <c r="D2049" s="3">
        <v>1</v>
      </c>
      <c r="E2049" s="3" t="str">
        <f>"2170733575"</f>
        <v>2170733575</v>
      </c>
      <c r="F2049" s="3" t="s">
        <v>17</v>
      </c>
      <c r="G2049" s="3" t="s">
        <v>18</v>
      </c>
      <c r="H2049" s="3" t="s">
        <v>100</v>
      </c>
      <c r="I2049" s="3" t="s">
        <v>117</v>
      </c>
      <c r="J2049" s="3" t="s">
        <v>285</v>
      </c>
      <c r="K2049" s="3" t="s">
        <v>1660</v>
      </c>
      <c r="L2049" s="4">
        <v>0.51180555555555551</v>
      </c>
      <c r="M2049" s="3" t="s">
        <v>286</v>
      </c>
      <c r="N2049" s="3" t="s">
        <v>24</v>
      </c>
      <c r="O2049" s="3" t="s">
        <v>25</v>
      </c>
    </row>
    <row r="2050" spans="1:15">
      <c r="A2050" s="3" t="s">
        <v>15</v>
      </c>
      <c r="B2050" s="3" t="str">
        <f>"FES1162742069"</f>
        <v>FES1162742069</v>
      </c>
      <c r="C2050" s="3" t="s">
        <v>1572</v>
      </c>
      <c r="D2050" s="3">
        <v>1</v>
      </c>
      <c r="E2050" s="3" t="str">
        <f>"2170728948"</f>
        <v>2170728948</v>
      </c>
      <c r="F2050" s="3" t="s">
        <v>17</v>
      </c>
      <c r="G2050" s="3" t="s">
        <v>18</v>
      </c>
      <c r="H2050" s="3" t="s">
        <v>36</v>
      </c>
      <c r="I2050" s="3" t="s">
        <v>37</v>
      </c>
      <c r="J2050" s="3" t="s">
        <v>187</v>
      </c>
      <c r="K2050" s="3" t="s">
        <v>1660</v>
      </c>
      <c r="L2050" s="4">
        <v>0.33680555555555558</v>
      </c>
      <c r="M2050" s="3" t="s">
        <v>188</v>
      </c>
      <c r="N2050" s="3" t="s">
        <v>24</v>
      </c>
      <c r="O2050" s="3" t="s">
        <v>25</v>
      </c>
    </row>
    <row r="2051" spans="1:15">
      <c r="A2051" s="3" t="s">
        <v>15</v>
      </c>
      <c r="B2051" s="3" t="str">
        <f>"FES1162742072"</f>
        <v>FES1162742072</v>
      </c>
      <c r="C2051" s="3" t="s">
        <v>1572</v>
      </c>
      <c r="D2051" s="3">
        <v>1</v>
      </c>
      <c r="E2051" s="3" t="str">
        <f>"2170733256"</f>
        <v>2170733256</v>
      </c>
      <c r="F2051" s="3" t="s">
        <v>17</v>
      </c>
      <c r="G2051" s="3" t="s">
        <v>18</v>
      </c>
      <c r="H2051" s="3" t="s">
        <v>100</v>
      </c>
      <c r="I2051" s="3" t="s">
        <v>101</v>
      </c>
      <c r="J2051" s="3" t="s">
        <v>1577</v>
      </c>
      <c r="K2051" s="3" t="s">
        <v>1660</v>
      </c>
      <c r="L2051" s="4">
        <v>0.35694444444444445</v>
      </c>
      <c r="M2051" s="3" t="s">
        <v>1739</v>
      </c>
      <c r="N2051" s="3" t="s">
        <v>24</v>
      </c>
      <c r="O2051" s="3" t="s">
        <v>25</v>
      </c>
    </row>
    <row r="2052" spans="1:15">
      <c r="A2052" s="3" t="s">
        <v>15</v>
      </c>
      <c r="B2052" s="3" t="str">
        <f>"FES1162742052"</f>
        <v>FES1162742052</v>
      </c>
      <c r="C2052" s="3" t="s">
        <v>1572</v>
      </c>
      <c r="D2052" s="3">
        <v>1</v>
      </c>
      <c r="E2052" s="3" t="str">
        <f>"2170733570"</f>
        <v>2170733570</v>
      </c>
      <c r="F2052" s="3" t="s">
        <v>17</v>
      </c>
      <c r="G2052" s="3" t="s">
        <v>18</v>
      </c>
      <c r="H2052" s="3" t="s">
        <v>534</v>
      </c>
      <c r="I2052" s="3" t="s">
        <v>596</v>
      </c>
      <c r="J2052" s="3" t="s">
        <v>1079</v>
      </c>
      <c r="K2052" s="3" t="s">
        <v>1660</v>
      </c>
      <c r="L2052" s="4">
        <v>0.39583333333333331</v>
      </c>
      <c r="M2052" s="3" t="s">
        <v>1080</v>
      </c>
      <c r="N2052" s="3" t="s">
        <v>24</v>
      </c>
      <c r="O2052" s="3" t="s">
        <v>25</v>
      </c>
    </row>
    <row r="2053" spans="1:15">
      <c r="A2053" s="3" t="s">
        <v>15</v>
      </c>
      <c r="B2053" s="3" t="str">
        <f>"FES1162742060"</f>
        <v>FES1162742060</v>
      </c>
      <c r="C2053" s="3" t="s">
        <v>1572</v>
      </c>
      <c r="D2053" s="3">
        <v>1</v>
      </c>
      <c r="E2053" s="3" t="str">
        <f>"2170732614"</f>
        <v>2170732614</v>
      </c>
      <c r="F2053" s="3" t="s">
        <v>17</v>
      </c>
      <c r="G2053" s="3" t="s">
        <v>18</v>
      </c>
      <c r="H2053" s="3" t="s">
        <v>19</v>
      </c>
      <c r="I2053" s="3" t="s">
        <v>20</v>
      </c>
      <c r="J2053" s="3" t="s">
        <v>56</v>
      </c>
      <c r="K2053" s="3" t="s">
        <v>1660</v>
      </c>
      <c r="L2053" s="4">
        <v>0.35347222222222219</v>
      </c>
      <c r="M2053" s="3" t="s">
        <v>57</v>
      </c>
      <c r="N2053" s="3" t="s">
        <v>24</v>
      </c>
      <c r="O2053" s="3" t="s">
        <v>25</v>
      </c>
    </row>
    <row r="2054" spans="1:15">
      <c r="A2054" s="3" t="s">
        <v>15</v>
      </c>
      <c r="B2054" s="3" t="str">
        <f>"FES1162742018"</f>
        <v>FES1162742018</v>
      </c>
      <c r="C2054" s="3" t="s">
        <v>1572</v>
      </c>
      <c r="D2054" s="3">
        <v>1</v>
      </c>
      <c r="E2054" s="3" t="str">
        <f>"2170733371"</f>
        <v>2170733371</v>
      </c>
      <c r="F2054" s="3" t="s">
        <v>17</v>
      </c>
      <c r="G2054" s="3" t="s">
        <v>18</v>
      </c>
      <c r="H2054" s="3" t="s">
        <v>18</v>
      </c>
      <c r="I2054" s="3" t="s">
        <v>171</v>
      </c>
      <c r="J2054" s="3" t="s">
        <v>1740</v>
      </c>
      <c r="K2054" s="3" t="s">
        <v>1660</v>
      </c>
      <c r="L2054" s="4">
        <v>0.39444444444444443</v>
      </c>
      <c r="M2054" s="3" t="s">
        <v>1741</v>
      </c>
      <c r="N2054" s="3" t="s">
        <v>24</v>
      </c>
      <c r="O2054" s="3" t="s">
        <v>25</v>
      </c>
    </row>
    <row r="2055" spans="1:15">
      <c r="A2055" s="3" t="s">
        <v>15</v>
      </c>
      <c r="B2055" s="3" t="str">
        <f>"FES1162742011"</f>
        <v>FES1162742011</v>
      </c>
      <c r="C2055" s="3" t="s">
        <v>1572</v>
      </c>
      <c r="D2055" s="3">
        <v>1</v>
      </c>
      <c r="E2055" s="3" t="str">
        <f>"2170733515"</f>
        <v>2170733515</v>
      </c>
      <c r="F2055" s="3" t="s">
        <v>17</v>
      </c>
      <c r="G2055" s="3" t="s">
        <v>18</v>
      </c>
      <c r="H2055" s="3" t="s">
        <v>18</v>
      </c>
      <c r="I2055" s="3" t="s">
        <v>168</v>
      </c>
      <c r="J2055" s="3" t="s">
        <v>169</v>
      </c>
      <c r="K2055" s="3" t="s">
        <v>1660</v>
      </c>
      <c r="L2055" s="4">
        <v>0.41944444444444445</v>
      </c>
      <c r="M2055" s="3" t="s">
        <v>170</v>
      </c>
      <c r="N2055" s="3" t="s">
        <v>24</v>
      </c>
      <c r="O2055" s="3" t="s">
        <v>25</v>
      </c>
    </row>
    <row r="2056" spans="1:15">
      <c r="A2056" s="3" t="s">
        <v>15</v>
      </c>
      <c r="B2056" s="3" t="str">
        <f>"FES1162742032"</f>
        <v>FES1162742032</v>
      </c>
      <c r="C2056" s="3" t="s">
        <v>1572</v>
      </c>
      <c r="D2056" s="3">
        <v>1</v>
      </c>
      <c r="E2056" s="3" t="str">
        <f>"2170733544"</f>
        <v>2170733544</v>
      </c>
      <c r="F2056" s="3" t="s">
        <v>17</v>
      </c>
      <c r="G2056" s="3" t="s">
        <v>18</v>
      </c>
      <c r="H2056" s="3" t="s">
        <v>18</v>
      </c>
      <c r="I2056" s="3" t="s">
        <v>180</v>
      </c>
      <c r="J2056" s="3" t="s">
        <v>1100</v>
      </c>
      <c r="K2056" s="3" t="s">
        <v>1660</v>
      </c>
      <c r="L2056" s="4">
        <v>0.46180555555555558</v>
      </c>
      <c r="M2056" s="3" t="s">
        <v>1742</v>
      </c>
      <c r="N2056" s="3" t="s">
        <v>24</v>
      </c>
      <c r="O2056" s="3" t="s">
        <v>25</v>
      </c>
    </row>
    <row r="2057" spans="1:15">
      <c r="A2057" s="3" t="s">
        <v>15</v>
      </c>
      <c r="B2057" s="3" t="str">
        <f>"FES1162742027"</f>
        <v>FES1162742027</v>
      </c>
      <c r="C2057" s="3" t="s">
        <v>1572</v>
      </c>
      <c r="D2057" s="3">
        <v>1</v>
      </c>
      <c r="E2057" s="3" t="str">
        <f>"2170733536"</f>
        <v>2170733536</v>
      </c>
      <c r="F2057" s="3" t="s">
        <v>17</v>
      </c>
      <c r="G2057" s="3" t="s">
        <v>18</v>
      </c>
      <c r="H2057" s="3" t="s">
        <v>36</v>
      </c>
      <c r="I2057" s="3" t="s">
        <v>37</v>
      </c>
      <c r="J2057" s="3" t="s">
        <v>1053</v>
      </c>
      <c r="K2057" s="3" t="s">
        <v>1660</v>
      </c>
      <c r="L2057" s="4">
        <v>0.43124999999999997</v>
      </c>
      <c r="M2057" s="3" t="s">
        <v>1743</v>
      </c>
      <c r="N2057" s="3" t="s">
        <v>24</v>
      </c>
      <c r="O2057" s="3" t="s">
        <v>25</v>
      </c>
    </row>
    <row r="2058" spans="1:15">
      <c r="A2058" s="3" t="s">
        <v>15</v>
      </c>
      <c r="B2058" s="3" t="str">
        <f>"FES1162742074"</f>
        <v>FES1162742074</v>
      </c>
      <c r="C2058" s="3" t="s">
        <v>1572</v>
      </c>
      <c r="D2058" s="3">
        <v>1</v>
      </c>
      <c r="E2058" s="3" t="str">
        <f>"2170733597"</f>
        <v>2170733597</v>
      </c>
      <c r="F2058" s="3" t="s">
        <v>17</v>
      </c>
      <c r="G2058" s="3" t="s">
        <v>18</v>
      </c>
      <c r="H2058" s="3" t="s">
        <v>36</v>
      </c>
      <c r="I2058" s="3" t="s">
        <v>37</v>
      </c>
      <c r="J2058" s="3" t="s">
        <v>38</v>
      </c>
      <c r="K2058" s="3" t="s">
        <v>1660</v>
      </c>
      <c r="L2058" s="4">
        <v>0.4152777777777778</v>
      </c>
      <c r="M2058" s="3" t="s">
        <v>1744</v>
      </c>
      <c r="N2058" s="3" t="s">
        <v>24</v>
      </c>
      <c r="O2058" s="3" t="s">
        <v>25</v>
      </c>
    </row>
    <row r="2059" spans="1:15">
      <c r="A2059" s="3" t="s">
        <v>15</v>
      </c>
      <c r="B2059" s="3" t="str">
        <f>"FES1162741983"</f>
        <v>FES1162741983</v>
      </c>
      <c r="C2059" s="3" t="s">
        <v>1572</v>
      </c>
      <c r="D2059" s="3">
        <v>1</v>
      </c>
      <c r="E2059" s="3" t="str">
        <f>"2170733475"</f>
        <v>2170733475</v>
      </c>
      <c r="F2059" s="3" t="s">
        <v>17</v>
      </c>
      <c r="G2059" s="3" t="s">
        <v>18</v>
      </c>
      <c r="H2059" s="3" t="s">
        <v>18</v>
      </c>
      <c r="I2059" s="3" t="s">
        <v>171</v>
      </c>
      <c r="J2059" s="3" t="s">
        <v>946</v>
      </c>
      <c r="K2059" s="3" t="s">
        <v>1660</v>
      </c>
      <c r="L2059" s="4">
        <v>0.35000000000000003</v>
      </c>
      <c r="M2059" s="3" t="s">
        <v>1745</v>
      </c>
      <c r="N2059" s="3" t="s">
        <v>24</v>
      </c>
      <c r="O2059" s="3" t="s">
        <v>25</v>
      </c>
    </row>
    <row r="2060" spans="1:15">
      <c r="A2060" s="3" t="s">
        <v>15</v>
      </c>
      <c r="B2060" s="3" t="str">
        <f>"FES1162742047"</f>
        <v>FES1162742047</v>
      </c>
      <c r="C2060" s="3" t="s">
        <v>1572</v>
      </c>
      <c r="D2060" s="3">
        <v>1</v>
      </c>
      <c r="E2060" s="3" t="str">
        <f>"2170733565"</f>
        <v>2170733565</v>
      </c>
      <c r="F2060" s="3" t="s">
        <v>17</v>
      </c>
      <c r="G2060" s="3" t="s">
        <v>18</v>
      </c>
      <c r="H2060" s="3" t="s">
        <v>18</v>
      </c>
      <c r="I2060" s="3" t="s">
        <v>29</v>
      </c>
      <c r="J2060" s="3" t="s">
        <v>225</v>
      </c>
      <c r="K2060" s="3" t="s">
        <v>1660</v>
      </c>
      <c r="L2060" s="4">
        <v>0.43472222222222223</v>
      </c>
      <c r="M2060" s="3" t="s">
        <v>226</v>
      </c>
      <c r="N2060" s="3" t="s">
        <v>24</v>
      </c>
      <c r="O2060" s="3" t="s">
        <v>25</v>
      </c>
    </row>
    <row r="2061" spans="1:15">
      <c r="A2061" s="3" t="s">
        <v>15</v>
      </c>
      <c r="B2061" s="3" t="str">
        <f>"FES1162741999"</f>
        <v>FES1162741999</v>
      </c>
      <c r="C2061" s="3" t="s">
        <v>1572</v>
      </c>
      <c r="D2061" s="3">
        <v>1</v>
      </c>
      <c r="E2061" s="3" t="str">
        <f>"2170733506"</f>
        <v>2170733506</v>
      </c>
      <c r="F2061" s="3" t="s">
        <v>17</v>
      </c>
      <c r="G2061" s="3" t="s">
        <v>18</v>
      </c>
      <c r="H2061" s="3" t="s">
        <v>18</v>
      </c>
      <c r="I2061" s="3" t="s">
        <v>171</v>
      </c>
      <c r="J2061" s="3" t="s">
        <v>522</v>
      </c>
      <c r="K2061" s="3" t="s">
        <v>1660</v>
      </c>
      <c r="L2061" s="4">
        <v>0.28125</v>
      </c>
      <c r="M2061" s="3" t="s">
        <v>1729</v>
      </c>
      <c r="N2061" s="3" t="s">
        <v>24</v>
      </c>
      <c r="O2061" s="3" t="s">
        <v>25</v>
      </c>
    </row>
    <row r="2062" spans="1:15">
      <c r="A2062" s="3" t="s">
        <v>15</v>
      </c>
      <c r="B2062" s="3" t="str">
        <f>"FES1162742075"</f>
        <v>FES1162742075</v>
      </c>
      <c r="C2062" s="3" t="s">
        <v>1572</v>
      </c>
      <c r="D2062" s="3">
        <v>1</v>
      </c>
      <c r="E2062" s="3" t="str">
        <f>"2170733598"</f>
        <v>2170733598</v>
      </c>
      <c r="F2062" s="3" t="s">
        <v>17</v>
      </c>
      <c r="G2062" s="3" t="s">
        <v>18</v>
      </c>
      <c r="H2062" s="3" t="s">
        <v>100</v>
      </c>
      <c r="I2062" s="3" t="s">
        <v>101</v>
      </c>
      <c r="J2062" s="3" t="s">
        <v>894</v>
      </c>
      <c r="K2062" s="3" t="s">
        <v>1660</v>
      </c>
      <c r="L2062" s="4">
        <v>0.4055555555555555</v>
      </c>
      <c r="M2062" s="3" t="s">
        <v>1746</v>
      </c>
      <c r="N2062" s="3" t="s">
        <v>24</v>
      </c>
      <c r="O2062" s="3" t="s">
        <v>25</v>
      </c>
    </row>
    <row r="2063" spans="1:15">
      <c r="A2063" s="3" t="s">
        <v>15</v>
      </c>
      <c r="B2063" s="3" t="str">
        <f>"FES1162741988"</f>
        <v>FES1162741988</v>
      </c>
      <c r="C2063" s="3" t="s">
        <v>1572</v>
      </c>
      <c r="D2063" s="3">
        <v>1</v>
      </c>
      <c r="E2063" s="3" t="str">
        <f>"2170733485"</f>
        <v>2170733485</v>
      </c>
      <c r="F2063" s="3" t="s">
        <v>17</v>
      </c>
      <c r="G2063" s="3" t="s">
        <v>18</v>
      </c>
      <c r="H2063" s="3" t="s">
        <v>18</v>
      </c>
      <c r="I2063" s="3" t="s">
        <v>171</v>
      </c>
      <c r="J2063" s="3" t="s">
        <v>522</v>
      </c>
      <c r="K2063" s="3" t="s">
        <v>1660</v>
      </c>
      <c r="L2063" s="4">
        <v>0.28125</v>
      </c>
      <c r="M2063" s="3" t="s">
        <v>1729</v>
      </c>
      <c r="N2063" s="3" t="s">
        <v>24</v>
      </c>
      <c r="O2063" s="3" t="s">
        <v>25</v>
      </c>
    </row>
    <row r="2064" spans="1:15">
      <c r="A2064" s="3" t="s">
        <v>15</v>
      </c>
      <c r="B2064" s="3" t="str">
        <f>"FES1162742050"</f>
        <v>FES1162742050</v>
      </c>
      <c r="C2064" s="3" t="s">
        <v>1572</v>
      </c>
      <c r="D2064" s="3">
        <v>1</v>
      </c>
      <c r="E2064" s="3" t="str">
        <f>"2170733568"</f>
        <v>2170733568</v>
      </c>
      <c r="F2064" s="3" t="s">
        <v>17</v>
      </c>
      <c r="G2064" s="3" t="s">
        <v>18</v>
      </c>
      <c r="H2064" s="3" t="s">
        <v>18</v>
      </c>
      <c r="I2064" s="3" t="s">
        <v>168</v>
      </c>
      <c r="J2064" s="3" t="s">
        <v>169</v>
      </c>
      <c r="K2064" s="3" t="s">
        <v>1660</v>
      </c>
      <c r="L2064" s="4">
        <v>0.41736111111111113</v>
      </c>
      <c r="M2064" s="3" t="s">
        <v>170</v>
      </c>
      <c r="N2064" s="3" t="s">
        <v>24</v>
      </c>
      <c r="O2064" s="3" t="s">
        <v>25</v>
      </c>
    </row>
    <row r="2065" spans="1:15">
      <c r="A2065" s="3" t="s">
        <v>15</v>
      </c>
      <c r="B2065" s="3" t="str">
        <f>"FES1162742061"</f>
        <v>FES1162742061</v>
      </c>
      <c r="C2065" s="3" t="s">
        <v>1572</v>
      </c>
      <c r="D2065" s="3">
        <v>1</v>
      </c>
      <c r="E2065" s="3" t="str">
        <f>"2170731742"</f>
        <v>2170731742</v>
      </c>
      <c r="F2065" s="3" t="s">
        <v>17</v>
      </c>
      <c r="G2065" s="3" t="s">
        <v>18</v>
      </c>
      <c r="H2065" s="3" t="s">
        <v>18</v>
      </c>
      <c r="I2065" s="3" t="s">
        <v>341</v>
      </c>
      <c r="J2065" s="3" t="s">
        <v>810</v>
      </c>
      <c r="K2065" s="3" t="s">
        <v>1660</v>
      </c>
      <c r="L2065" s="4">
        <v>0.4201388888888889</v>
      </c>
      <c r="M2065" s="3" t="s">
        <v>1747</v>
      </c>
      <c r="N2065" s="3" t="s">
        <v>24</v>
      </c>
      <c r="O2065" s="3" t="s">
        <v>25</v>
      </c>
    </row>
    <row r="2066" spans="1:15">
      <c r="A2066" s="3" t="s">
        <v>15</v>
      </c>
      <c r="B2066" s="3" t="str">
        <f>"FES1162742065"</f>
        <v>FES1162742065</v>
      </c>
      <c r="C2066" s="3" t="s">
        <v>1572</v>
      </c>
      <c r="D2066" s="3">
        <v>1</v>
      </c>
      <c r="E2066" s="3" t="str">
        <f>"2170733584"</f>
        <v>2170733584</v>
      </c>
      <c r="F2066" s="3" t="s">
        <v>17</v>
      </c>
      <c r="G2066" s="3" t="s">
        <v>18</v>
      </c>
      <c r="H2066" s="3" t="s">
        <v>46</v>
      </c>
      <c r="I2066" s="3" t="s">
        <v>47</v>
      </c>
      <c r="J2066" s="3" t="s">
        <v>48</v>
      </c>
      <c r="K2066" s="3" t="s">
        <v>1660</v>
      </c>
      <c r="L2066" s="4">
        <v>0.41666666666666669</v>
      </c>
      <c r="M2066" s="3" t="s">
        <v>1748</v>
      </c>
      <c r="N2066" s="3" t="s">
        <v>24</v>
      </c>
      <c r="O2066" s="3" t="s">
        <v>25</v>
      </c>
    </row>
    <row r="2067" spans="1:15">
      <c r="A2067" s="5" t="s">
        <v>15</v>
      </c>
      <c r="B2067" s="5" t="str">
        <f>"FES1162742043"</f>
        <v>FES1162742043</v>
      </c>
      <c r="C2067" s="5" t="s">
        <v>1572</v>
      </c>
      <c r="D2067" s="5">
        <v>1</v>
      </c>
      <c r="E2067" s="5" t="str">
        <f>"2170732915"</f>
        <v>2170732915</v>
      </c>
      <c r="F2067" s="5" t="s">
        <v>17</v>
      </c>
      <c r="G2067" s="5" t="s">
        <v>18</v>
      </c>
      <c r="H2067" s="5" t="s">
        <v>18</v>
      </c>
      <c r="I2067" s="5" t="s">
        <v>26</v>
      </c>
      <c r="J2067" s="5" t="s">
        <v>227</v>
      </c>
      <c r="K2067" s="5" t="s">
        <v>1660</v>
      </c>
      <c r="L2067" s="6">
        <v>0.375</v>
      </c>
      <c r="M2067" s="5" t="s">
        <v>1749</v>
      </c>
      <c r="N2067" s="5" t="s">
        <v>24</v>
      </c>
      <c r="O2067" s="5" t="s">
        <v>25</v>
      </c>
    </row>
    <row r="2068" spans="1:15">
      <c r="A2068" s="5" t="s">
        <v>15</v>
      </c>
      <c r="B2068" s="5" t="str">
        <f>"FES1162742024"</f>
        <v>FES1162742024</v>
      </c>
      <c r="C2068" s="5" t="s">
        <v>1572</v>
      </c>
      <c r="D2068" s="5">
        <v>1</v>
      </c>
      <c r="E2068" s="5" t="str">
        <f>"2170733532"</f>
        <v>2170733532</v>
      </c>
      <c r="F2068" s="5" t="s">
        <v>17</v>
      </c>
      <c r="G2068" s="5" t="s">
        <v>18</v>
      </c>
      <c r="H2068" s="5" t="s">
        <v>18</v>
      </c>
      <c r="I2068" s="5" t="s">
        <v>33</v>
      </c>
      <c r="J2068" s="5" t="s">
        <v>1512</v>
      </c>
      <c r="K2068" s="5" t="s">
        <v>1660</v>
      </c>
      <c r="L2068" s="6">
        <v>0.37291666666666662</v>
      </c>
      <c r="M2068" s="5" t="s">
        <v>1750</v>
      </c>
      <c r="N2068" s="5" t="s">
        <v>24</v>
      </c>
      <c r="O2068" s="5" t="s">
        <v>25</v>
      </c>
    </row>
    <row r="2069" spans="1:15">
      <c r="A2069" s="5" t="s">
        <v>15</v>
      </c>
      <c r="B2069" s="5" t="str">
        <f>"FES1162742035"</f>
        <v>FES1162742035</v>
      </c>
      <c r="C2069" s="5" t="s">
        <v>1572</v>
      </c>
      <c r="D2069" s="5">
        <v>1</v>
      </c>
      <c r="E2069" s="5" t="str">
        <f>"2170733548"</f>
        <v>2170733548</v>
      </c>
      <c r="F2069" s="5" t="s">
        <v>17</v>
      </c>
      <c r="G2069" s="5" t="s">
        <v>18</v>
      </c>
      <c r="H2069" s="5" t="s">
        <v>18</v>
      </c>
      <c r="I2069" s="5" t="s">
        <v>33</v>
      </c>
      <c r="J2069" s="5" t="s">
        <v>93</v>
      </c>
      <c r="K2069" s="5" t="s">
        <v>1660</v>
      </c>
      <c r="L2069" s="6">
        <v>0.4375</v>
      </c>
      <c r="M2069" s="5" t="s">
        <v>1663</v>
      </c>
      <c r="N2069" s="5" t="s">
        <v>24</v>
      </c>
      <c r="O2069" s="5" t="s">
        <v>25</v>
      </c>
    </row>
    <row r="2070" spans="1:15">
      <c r="A2070" s="5" t="s">
        <v>15</v>
      </c>
      <c r="B2070" s="5" t="str">
        <f>"FES1162742041"</f>
        <v>FES1162742041</v>
      </c>
      <c r="C2070" s="5" t="s">
        <v>1572</v>
      </c>
      <c r="D2070" s="5">
        <v>1</v>
      </c>
      <c r="E2070" s="5" t="str">
        <f>"2170730590"</f>
        <v>2170730590</v>
      </c>
      <c r="F2070" s="5" t="s">
        <v>17</v>
      </c>
      <c r="G2070" s="5" t="s">
        <v>18</v>
      </c>
      <c r="H2070" s="5" t="s">
        <v>18</v>
      </c>
      <c r="I2070" s="5" t="s">
        <v>313</v>
      </c>
      <c r="J2070" s="5" t="s">
        <v>1751</v>
      </c>
      <c r="K2070" s="5" t="s">
        <v>1660</v>
      </c>
      <c r="L2070" s="6">
        <v>0.38472222222222219</v>
      </c>
      <c r="M2070" s="5" t="s">
        <v>1752</v>
      </c>
      <c r="N2070" s="5" t="s">
        <v>24</v>
      </c>
      <c r="O2070" s="5" t="s">
        <v>25</v>
      </c>
    </row>
    <row r="2071" spans="1:15">
      <c r="A2071" s="5" t="s">
        <v>15</v>
      </c>
      <c r="B2071" s="5" t="str">
        <f>"FES1162742053"</f>
        <v>FES1162742053</v>
      </c>
      <c r="C2071" s="5" t="s">
        <v>1572</v>
      </c>
      <c r="D2071" s="5">
        <v>1</v>
      </c>
      <c r="E2071" s="5" t="str">
        <f>"2170733572"</f>
        <v>2170733572</v>
      </c>
      <c r="F2071" s="5" t="s">
        <v>17</v>
      </c>
      <c r="G2071" s="5" t="s">
        <v>18</v>
      </c>
      <c r="H2071" s="5" t="s">
        <v>18</v>
      </c>
      <c r="I2071" s="5" t="s">
        <v>291</v>
      </c>
      <c r="J2071" s="5" t="s">
        <v>473</v>
      </c>
      <c r="K2071" s="5" t="s">
        <v>1660</v>
      </c>
      <c r="L2071" s="6">
        <v>0.38472222222222219</v>
      </c>
      <c r="M2071" s="5" t="s">
        <v>777</v>
      </c>
      <c r="N2071" s="5" t="s">
        <v>24</v>
      </c>
      <c r="O2071" s="5" t="s">
        <v>1753</v>
      </c>
    </row>
    <row r="2072" spans="1:15">
      <c r="A2072" s="5" t="s">
        <v>15</v>
      </c>
      <c r="B2072" s="5" t="str">
        <f>"FES1162742000"</f>
        <v>FES1162742000</v>
      </c>
      <c r="C2072" s="5" t="s">
        <v>1572</v>
      </c>
      <c r="D2072" s="5">
        <v>1</v>
      </c>
      <c r="E2072" s="5" t="str">
        <f>"2170733512"</f>
        <v>2170733512</v>
      </c>
      <c r="F2072" s="5" t="s">
        <v>17</v>
      </c>
      <c r="G2072" s="5" t="s">
        <v>18</v>
      </c>
      <c r="H2072" s="5" t="s">
        <v>18</v>
      </c>
      <c r="I2072" s="5" t="s">
        <v>33</v>
      </c>
      <c r="J2072" s="5" t="s">
        <v>775</v>
      </c>
      <c r="K2072" s="5" t="s">
        <v>1660</v>
      </c>
      <c r="L2072" s="6">
        <v>0.4375</v>
      </c>
      <c r="M2072" s="5" t="s">
        <v>488</v>
      </c>
      <c r="N2072" s="5" t="s">
        <v>24</v>
      </c>
      <c r="O2072" s="5" t="s">
        <v>25</v>
      </c>
    </row>
    <row r="2073" spans="1:15">
      <c r="A2073" s="5" t="s">
        <v>15</v>
      </c>
      <c r="B2073" s="5" t="str">
        <f>"FES1162742029"</f>
        <v>FES1162742029</v>
      </c>
      <c r="C2073" s="5" t="s">
        <v>1572</v>
      </c>
      <c r="D2073" s="5">
        <v>1</v>
      </c>
      <c r="E2073" s="5" t="str">
        <f>"2170733541"</f>
        <v>2170733541</v>
      </c>
      <c r="F2073" s="5" t="s">
        <v>17</v>
      </c>
      <c r="G2073" s="5" t="s">
        <v>18</v>
      </c>
      <c r="H2073" s="5" t="s">
        <v>18</v>
      </c>
      <c r="I2073" s="5" t="s">
        <v>29</v>
      </c>
      <c r="J2073" s="5" t="s">
        <v>307</v>
      </c>
      <c r="K2073" s="5" t="s">
        <v>1660</v>
      </c>
      <c r="L2073" s="6">
        <v>0.33333333333333331</v>
      </c>
      <c r="M2073" s="5" t="s">
        <v>308</v>
      </c>
      <c r="N2073" s="5" t="s">
        <v>24</v>
      </c>
      <c r="O2073" s="5" t="s">
        <v>25</v>
      </c>
    </row>
    <row r="2074" spans="1:15">
      <c r="A2074" s="5" t="s">
        <v>15</v>
      </c>
      <c r="B2074" s="5" t="str">
        <f>"FES1162742078"</f>
        <v>FES1162742078</v>
      </c>
      <c r="C2074" s="5" t="s">
        <v>1572</v>
      </c>
      <c r="D2074" s="5">
        <v>1</v>
      </c>
      <c r="E2074" s="5" t="str">
        <f>"2170733601"</f>
        <v>2170733601</v>
      </c>
      <c r="F2074" s="5" t="s">
        <v>17</v>
      </c>
      <c r="G2074" s="5" t="s">
        <v>18</v>
      </c>
      <c r="H2074" s="5" t="s">
        <v>19</v>
      </c>
      <c r="I2074" s="5" t="s">
        <v>51</v>
      </c>
      <c r="J2074" s="5" t="s">
        <v>1083</v>
      </c>
      <c r="K2074" s="5" t="s">
        <v>1660</v>
      </c>
      <c r="L2074" s="6">
        <v>0.63888888888888895</v>
      </c>
      <c r="M2074" s="5" t="s">
        <v>1754</v>
      </c>
      <c r="N2074" s="5" t="s">
        <v>24</v>
      </c>
      <c r="O2074" s="5" t="s">
        <v>25</v>
      </c>
    </row>
    <row r="2075" spans="1:15">
      <c r="A2075" s="5" t="s">
        <v>15</v>
      </c>
      <c r="B2075" s="5" t="str">
        <f>"FES1162742022"</f>
        <v>FES1162742022</v>
      </c>
      <c r="C2075" s="5" t="s">
        <v>1572</v>
      </c>
      <c r="D2075" s="5">
        <v>1</v>
      </c>
      <c r="E2075" s="5" t="str">
        <f>"2170733527"</f>
        <v>2170733527</v>
      </c>
      <c r="F2075" s="5" t="s">
        <v>17</v>
      </c>
      <c r="G2075" s="5" t="s">
        <v>18</v>
      </c>
      <c r="H2075" s="5" t="s">
        <v>18</v>
      </c>
      <c r="I2075" s="5" t="s">
        <v>29</v>
      </c>
      <c r="J2075" s="5" t="s">
        <v>307</v>
      </c>
      <c r="K2075" s="5" t="s">
        <v>1660</v>
      </c>
      <c r="L2075" s="6">
        <v>0.33611111111111108</v>
      </c>
      <c r="M2075" s="5" t="s">
        <v>308</v>
      </c>
      <c r="N2075" s="5" t="s">
        <v>24</v>
      </c>
      <c r="O2075" s="5" t="s">
        <v>25</v>
      </c>
    </row>
    <row r="2076" spans="1:15">
      <c r="A2076" s="5" t="s">
        <v>15</v>
      </c>
      <c r="B2076" s="5" t="str">
        <f>"FES1162742071"</f>
        <v>FES1162742071</v>
      </c>
      <c r="C2076" s="5" t="s">
        <v>1572</v>
      </c>
      <c r="D2076" s="5">
        <v>1</v>
      </c>
      <c r="E2076" s="5" t="str">
        <f>"2170733591"</f>
        <v>2170733591</v>
      </c>
      <c r="F2076" s="5" t="s">
        <v>17</v>
      </c>
      <c r="G2076" s="5" t="s">
        <v>18</v>
      </c>
      <c r="H2076" s="5" t="s">
        <v>18</v>
      </c>
      <c r="I2076" s="5" t="s">
        <v>309</v>
      </c>
      <c r="J2076" s="5" t="s">
        <v>882</v>
      </c>
      <c r="K2076" s="5" t="s">
        <v>1660</v>
      </c>
      <c r="L2076" s="6">
        <v>0.34513888888888888</v>
      </c>
      <c r="M2076" s="5" t="s">
        <v>1615</v>
      </c>
      <c r="N2076" s="5" t="s">
        <v>24</v>
      </c>
      <c r="O2076" s="5" t="s">
        <v>25</v>
      </c>
    </row>
    <row r="2077" spans="1:15">
      <c r="A2077" s="5" t="s">
        <v>15</v>
      </c>
      <c r="B2077" s="5" t="str">
        <f>"FES1162742049"</f>
        <v>FES1162742049</v>
      </c>
      <c r="C2077" s="5" t="s">
        <v>1572</v>
      </c>
      <c r="D2077" s="5">
        <v>1</v>
      </c>
      <c r="E2077" s="5" t="str">
        <f>"2170733573"</f>
        <v>2170733573</v>
      </c>
      <c r="F2077" s="5" t="s">
        <v>17</v>
      </c>
      <c r="G2077" s="5" t="s">
        <v>18</v>
      </c>
      <c r="H2077" s="5" t="s">
        <v>18</v>
      </c>
      <c r="I2077" s="5" t="s">
        <v>206</v>
      </c>
      <c r="J2077" s="5" t="s">
        <v>325</v>
      </c>
      <c r="K2077" s="5" t="s">
        <v>1660</v>
      </c>
      <c r="L2077" s="6">
        <v>0.33333333333333331</v>
      </c>
      <c r="M2077" s="5" t="s">
        <v>952</v>
      </c>
      <c r="N2077" s="5" t="s">
        <v>24</v>
      </c>
      <c r="O2077" s="5" t="s">
        <v>25</v>
      </c>
    </row>
    <row r="2078" spans="1:15">
      <c r="A2078" s="3" t="s">
        <v>15</v>
      </c>
      <c r="B2078" s="3" t="str">
        <f>"FES1162742042"</f>
        <v>FES1162742042</v>
      </c>
      <c r="C2078" s="3" t="s">
        <v>1572</v>
      </c>
      <c r="D2078" s="3">
        <v>1</v>
      </c>
      <c r="E2078" s="3" t="str">
        <f>"2170727024"</f>
        <v>2170727024</v>
      </c>
      <c r="F2078" s="3" t="s">
        <v>17</v>
      </c>
      <c r="G2078" s="3" t="s">
        <v>18</v>
      </c>
      <c r="H2078" s="3" t="s">
        <v>18</v>
      </c>
      <c r="I2078" s="3" t="s">
        <v>525</v>
      </c>
      <c r="J2078" s="3" t="s">
        <v>1536</v>
      </c>
      <c r="K2078" s="3" t="s">
        <v>1660</v>
      </c>
      <c r="L2078" s="4">
        <v>0.3527777777777778</v>
      </c>
      <c r="M2078" s="3" t="s">
        <v>1755</v>
      </c>
      <c r="N2078" s="3" t="s">
        <v>24</v>
      </c>
      <c r="O2078" s="3" t="s">
        <v>25</v>
      </c>
    </row>
    <row r="2079" spans="1:15">
      <c r="A2079" s="3" t="s">
        <v>15</v>
      </c>
      <c r="B2079" s="3" t="str">
        <f>"FES1162742016"</f>
        <v>FES1162742016</v>
      </c>
      <c r="C2079" s="3" t="s">
        <v>1572</v>
      </c>
      <c r="D2079" s="3">
        <v>1</v>
      </c>
      <c r="E2079" s="3" t="str">
        <f>"2170733525"</f>
        <v>2170733525</v>
      </c>
      <c r="F2079" s="3" t="s">
        <v>17</v>
      </c>
      <c r="G2079" s="3" t="s">
        <v>18</v>
      </c>
      <c r="H2079" s="3" t="s">
        <v>18</v>
      </c>
      <c r="I2079" s="3" t="s">
        <v>151</v>
      </c>
      <c r="J2079" s="3" t="s">
        <v>1364</v>
      </c>
      <c r="K2079" s="3" t="s">
        <v>1660</v>
      </c>
      <c r="L2079" s="4">
        <v>0.33958333333333335</v>
      </c>
      <c r="M2079" s="3" t="s">
        <v>1756</v>
      </c>
      <c r="N2079" s="3" t="s">
        <v>24</v>
      </c>
      <c r="O2079" s="3" t="s">
        <v>25</v>
      </c>
    </row>
    <row r="2080" spans="1:15">
      <c r="A2080" s="3" t="s">
        <v>15</v>
      </c>
      <c r="B2080" s="3" t="str">
        <f>"FES1162742063"</f>
        <v>FES1162742063</v>
      </c>
      <c r="C2080" s="3" t="s">
        <v>1572</v>
      </c>
      <c r="D2080" s="3">
        <v>1</v>
      </c>
      <c r="E2080" s="3" t="str">
        <f>"2170733581"</f>
        <v>2170733581</v>
      </c>
      <c r="F2080" s="3" t="s">
        <v>17</v>
      </c>
      <c r="G2080" s="3" t="s">
        <v>18</v>
      </c>
      <c r="H2080" s="3" t="s">
        <v>18</v>
      </c>
      <c r="I2080" s="3" t="s">
        <v>29</v>
      </c>
      <c r="J2080" s="3" t="s">
        <v>307</v>
      </c>
      <c r="K2080" s="3" t="s">
        <v>1660</v>
      </c>
      <c r="L2080" s="4">
        <v>0.33333333333333331</v>
      </c>
      <c r="M2080" s="3" t="s">
        <v>308</v>
      </c>
      <c r="N2080" s="3" t="s">
        <v>24</v>
      </c>
      <c r="O2080" s="3" t="s">
        <v>25</v>
      </c>
    </row>
    <row r="2081" spans="1:15">
      <c r="A2081" s="3" t="s">
        <v>15</v>
      </c>
      <c r="B2081" s="3" t="str">
        <f>"FES1162742023"</f>
        <v>FES1162742023</v>
      </c>
      <c r="C2081" s="3" t="s">
        <v>1572</v>
      </c>
      <c r="D2081" s="3">
        <v>1</v>
      </c>
      <c r="E2081" s="3" t="str">
        <f>"2170733533"</f>
        <v>2170733533</v>
      </c>
      <c r="F2081" s="3" t="s">
        <v>17</v>
      </c>
      <c r="G2081" s="3" t="s">
        <v>18</v>
      </c>
      <c r="H2081" s="3" t="s">
        <v>100</v>
      </c>
      <c r="I2081" s="3" t="s">
        <v>101</v>
      </c>
      <c r="J2081" s="3" t="s">
        <v>731</v>
      </c>
      <c r="K2081" s="3" t="s">
        <v>1660</v>
      </c>
      <c r="L2081" s="4">
        <v>0.43333333333333335</v>
      </c>
      <c r="M2081" s="3" t="s">
        <v>732</v>
      </c>
      <c r="N2081" s="3" t="s">
        <v>24</v>
      </c>
      <c r="O2081" s="3" t="s">
        <v>25</v>
      </c>
    </row>
    <row r="2082" spans="1:15">
      <c r="A2082" s="3" t="s">
        <v>15</v>
      </c>
      <c r="B2082" s="3" t="str">
        <f>"FES1162742002"</f>
        <v>FES1162742002</v>
      </c>
      <c r="C2082" s="3" t="s">
        <v>1572</v>
      </c>
      <c r="D2082" s="3">
        <v>1</v>
      </c>
      <c r="E2082" s="3" t="str">
        <f>"2170732771"</f>
        <v>2170732771</v>
      </c>
      <c r="F2082" s="3" t="s">
        <v>17</v>
      </c>
      <c r="G2082" s="3" t="s">
        <v>18</v>
      </c>
      <c r="H2082" s="3" t="s">
        <v>18</v>
      </c>
      <c r="I2082" s="3" t="s">
        <v>151</v>
      </c>
      <c r="J2082" s="3" t="s">
        <v>1757</v>
      </c>
      <c r="K2082" s="3" t="s">
        <v>1660</v>
      </c>
      <c r="L2082" s="4">
        <v>0.35138888888888892</v>
      </c>
      <c r="M2082" s="3" t="s">
        <v>1758</v>
      </c>
      <c r="N2082" s="3" t="s">
        <v>24</v>
      </c>
      <c r="O2082" s="3" t="s">
        <v>25</v>
      </c>
    </row>
    <row r="2083" spans="1:15">
      <c r="A2083" s="3" t="s">
        <v>15</v>
      </c>
      <c r="B2083" s="3" t="str">
        <f>"009936741524"</f>
        <v>009936741524</v>
      </c>
      <c r="C2083" s="3" t="s">
        <v>1572</v>
      </c>
      <c r="D2083" s="3">
        <v>1</v>
      </c>
      <c r="E2083" s="3" t="str">
        <f>""</f>
        <v/>
      </c>
      <c r="F2083" s="3" t="s">
        <v>17</v>
      </c>
      <c r="G2083" s="3" t="s">
        <v>886</v>
      </c>
      <c r="H2083" s="3" t="s">
        <v>18</v>
      </c>
      <c r="I2083" s="3" t="s">
        <v>29</v>
      </c>
      <c r="J2083" s="3" t="s">
        <v>529</v>
      </c>
      <c r="K2083" s="3" t="s">
        <v>1660</v>
      </c>
      <c r="L2083" s="4">
        <v>0.34375</v>
      </c>
      <c r="M2083" s="3" t="s">
        <v>777</v>
      </c>
      <c r="N2083" s="3" t="s">
        <v>24</v>
      </c>
      <c r="O2083" s="3" t="s">
        <v>25</v>
      </c>
    </row>
    <row r="2084" spans="1:15">
      <c r="A2084" s="3" t="s">
        <v>15</v>
      </c>
      <c r="B2084" s="3" t="str">
        <f>"009936741519"</f>
        <v>009936741519</v>
      </c>
      <c r="C2084" s="3" t="s">
        <v>1572</v>
      </c>
      <c r="D2084" s="3">
        <v>1</v>
      </c>
      <c r="E2084" s="3" t="str">
        <f>""</f>
        <v/>
      </c>
      <c r="F2084" s="3" t="s">
        <v>528</v>
      </c>
      <c r="G2084" s="3" t="s">
        <v>886</v>
      </c>
      <c r="H2084" s="3" t="s">
        <v>948</v>
      </c>
      <c r="I2084" s="3" t="s">
        <v>29</v>
      </c>
      <c r="J2084" s="3" t="s">
        <v>529</v>
      </c>
      <c r="K2084" s="3" t="s">
        <v>1660</v>
      </c>
      <c r="L2084" s="4">
        <v>0.34375</v>
      </c>
      <c r="M2084" s="3" t="s">
        <v>777</v>
      </c>
      <c r="N2084" s="3" t="s">
        <v>24</v>
      </c>
      <c r="O2084" s="3" t="s">
        <v>25</v>
      </c>
    </row>
    <row r="2085" spans="1:15">
      <c r="A2085" s="3" t="s">
        <v>15</v>
      </c>
      <c r="B2085" s="3" t="str">
        <f>"FES1162742171"</f>
        <v>FES1162742171</v>
      </c>
      <c r="C2085" s="3" t="s">
        <v>1660</v>
      </c>
      <c r="D2085" s="3">
        <v>1</v>
      </c>
      <c r="E2085" s="3" t="str">
        <f>"2170733668"</f>
        <v>2170733668</v>
      </c>
      <c r="F2085" s="3" t="s">
        <v>17</v>
      </c>
      <c r="G2085" s="3" t="s">
        <v>18</v>
      </c>
      <c r="H2085" s="3" t="s">
        <v>36</v>
      </c>
      <c r="I2085" s="3" t="s">
        <v>37</v>
      </c>
      <c r="J2085" s="3" t="s">
        <v>1486</v>
      </c>
      <c r="K2085" s="3" t="s">
        <v>1666</v>
      </c>
      <c r="L2085" s="4">
        <v>0.38125000000000003</v>
      </c>
      <c r="M2085" s="3" t="s">
        <v>383</v>
      </c>
      <c r="N2085" s="3" t="s">
        <v>24</v>
      </c>
      <c r="O2085" s="3" t="s">
        <v>25</v>
      </c>
    </row>
    <row r="2086" spans="1:15">
      <c r="A2086" s="3" t="s">
        <v>15</v>
      </c>
      <c r="B2086" s="3" t="str">
        <f>"FES1162742128"</f>
        <v>FES1162742128</v>
      </c>
      <c r="C2086" s="3" t="s">
        <v>1660</v>
      </c>
      <c r="D2086" s="3">
        <v>1</v>
      </c>
      <c r="E2086" s="3" t="str">
        <f>"2170733641"</f>
        <v>2170733641</v>
      </c>
      <c r="F2086" s="3" t="s">
        <v>17</v>
      </c>
      <c r="G2086" s="3" t="s">
        <v>18</v>
      </c>
      <c r="H2086" s="3" t="s">
        <v>19</v>
      </c>
      <c r="I2086" s="3" t="s">
        <v>20</v>
      </c>
      <c r="J2086" s="3" t="s">
        <v>1759</v>
      </c>
      <c r="K2086" s="3" t="s">
        <v>1666</v>
      </c>
      <c r="L2086" s="4">
        <v>0.36805555555555558</v>
      </c>
      <c r="M2086" s="3" t="s">
        <v>1760</v>
      </c>
      <c r="N2086" s="3" t="s">
        <v>24</v>
      </c>
      <c r="O2086" s="3" t="s">
        <v>25</v>
      </c>
    </row>
    <row r="2087" spans="1:15">
      <c r="A2087" s="3" t="s">
        <v>15</v>
      </c>
      <c r="B2087" s="3" t="str">
        <f>"FES1162742270"</f>
        <v>FES1162742270</v>
      </c>
      <c r="C2087" s="3" t="s">
        <v>1660</v>
      </c>
      <c r="D2087" s="3">
        <v>2</v>
      </c>
      <c r="E2087" s="3" t="str">
        <f>"2170733782"</f>
        <v>2170733782</v>
      </c>
      <c r="F2087" s="3" t="s">
        <v>17</v>
      </c>
      <c r="G2087" s="3" t="s">
        <v>18</v>
      </c>
      <c r="H2087" s="3" t="s">
        <v>18</v>
      </c>
      <c r="I2087" s="3" t="s">
        <v>29</v>
      </c>
      <c r="J2087" s="3" t="s">
        <v>1316</v>
      </c>
      <c r="K2087" s="3" t="s">
        <v>1666</v>
      </c>
      <c r="L2087" s="4">
        <v>0.2986111111111111</v>
      </c>
      <c r="M2087" s="3" t="s">
        <v>1761</v>
      </c>
      <c r="N2087" s="3" t="s">
        <v>24</v>
      </c>
      <c r="O2087" s="3" t="s">
        <v>25</v>
      </c>
    </row>
    <row r="2088" spans="1:15">
      <c r="A2088" s="3" t="s">
        <v>15</v>
      </c>
      <c r="B2088" s="3" t="str">
        <f>"FES1162742243"</f>
        <v>FES1162742243</v>
      </c>
      <c r="C2088" s="3" t="s">
        <v>1660</v>
      </c>
      <c r="D2088" s="3">
        <v>1</v>
      </c>
      <c r="E2088" s="3" t="str">
        <f>"2170733752"</f>
        <v>2170733752</v>
      </c>
      <c r="F2088" s="3" t="s">
        <v>17</v>
      </c>
      <c r="G2088" s="3" t="s">
        <v>18</v>
      </c>
      <c r="H2088" s="3" t="s">
        <v>18</v>
      </c>
      <c r="I2088" s="3" t="s">
        <v>33</v>
      </c>
      <c r="J2088" s="3" t="s">
        <v>966</v>
      </c>
      <c r="K2088" s="3" t="s">
        <v>1666</v>
      </c>
      <c r="L2088" s="4">
        <v>0.43541666666666662</v>
      </c>
      <c r="M2088" s="3" t="s">
        <v>967</v>
      </c>
      <c r="N2088" s="3" t="s">
        <v>24</v>
      </c>
      <c r="O2088" s="3" t="s">
        <v>25</v>
      </c>
    </row>
    <row r="2089" spans="1:15">
      <c r="A2089" s="3" t="s">
        <v>15</v>
      </c>
      <c r="B2089" s="3" t="str">
        <f>"009940031231"</f>
        <v>009940031231</v>
      </c>
      <c r="C2089" s="3" t="s">
        <v>1660</v>
      </c>
      <c r="D2089" s="3">
        <v>3</v>
      </c>
      <c r="E2089" s="3" t="str">
        <f>"NA"</f>
        <v>NA</v>
      </c>
      <c r="F2089" s="3" t="s">
        <v>17</v>
      </c>
      <c r="G2089" s="3" t="s">
        <v>100</v>
      </c>
      <c r="H2089" s="3" t="s">
        <v>18</v>
      </c>
      <c r="I2089" s="3" t="s">
        <v>29</v>
      </c>
      <c r="J2089" s="3" t="s">
        <v>529</v>
      </c>
      <c r="K2089" s="3" t="s">
        <v>1666</v>
      </c>
      <c r="L2089" s="4">
        <v>0.36319444444444443</v>
      </c>
      <c r="M2089" s="3" t="s">
        <v>777</v>
      </c>
      <c r="N2089" s="3" t="s">
        <v>24</v>
      </c>
      <c r="O2089" s="3" t="s">
        <v>25</v>
      </c>
    </row>
    <row r="2090" spans="1:15">
      <c r="A2090" s="3" t="s">
        <v>15</v>
      </c>
      <c r="B2090" s="3" t="str">
        <f>"FES1162741812"</f>
        <v>FES1162741812</v>
      </c>
      <c r="C2090" s="3" t="s">
        <v>1660</v>
      </c>
      <c r="D2090" s="3">
        <v>1</v>
      </c>
      <c r="E2090" s="3" t="str">
        <f>"2170733332"</f>
        <v>2170733332</v>
      </c>
      <c r="F2090" s="3" t="s">
        <v>17</v>
      </c>
      <c r="G2090" s="3" t="s">
        <v>18</v>
      </c>
      <c r="H2090" s="3" t="s">
        <v>36</v>
      </c>
      <c r="I2090" s="3" t="s">
        <v>37</v>
      </c>
      <c r="J2090" s="3" t="s">
        <v>434</v>
      </c>
      <c r="K2090" s="3" t="s">
        <v>1666</v>
      </c>
      <c r="L2090" s="4">
        <v>0.34791666666666665</v>
      </c>
      <c r="M2090" s="3" t="s">
        <v>435</v>
      </c>
      <c r="N2090" s="3" t="s">
        <v>24</v>
      </c>
      <c r="O2090" s="3" t="s">
        <v>25</v>
      </c>
    </row>
    <row r="2091" spans="1:15">
      <c r="A2091" s="3" t="s">
        <v>15</v>
      </c>
      <c r="B2091" s="3" t="str">
        <f>"RFES1162741735"</f>
        <v>RFES1162741735</v>
      </c>
      <c r="C2091" s="3" t="s">
        <v>1660</v>
      </c>
      <c r="D2091" s="3">
        <v>1</v>
      </c>
      <c r="E2091" s="3" t="str">
        <f>"2170730961"</f>
        <v>2170730961</v>
      </c>
      <c r="F2091" s="3" t="s">
        <v>17</v>
      </c>
      <c r="G2091" s="3" t="s">
        <v>36</v>
      </c>
      <c r="H2091" s="3" t="s">
        <v>18</v>
      </c>
      <c r="I2091" s="3" t="s">
        <v>29</v>
      </c>
      <c r="J2091" s="3" t="s">
        <v>30</v>
      </c>
      <c r="K2091" s="3" t="s">
        <v>1666</v>
      </c>
      <c r="L2091" s="4">
        <v>0.36249999999999999</v>
      </c>
      <c r="M2091" s="3" t="s">
        <v>777</v>
      </c>
      <c r="N2091" s="3" t="s">
        <v>24</v>
      </c>
      <c r="O2091" s="3" t="s">
        <v>25</v>
      </c>
    </row>
    <row r="2092" spans="1:15">
      <c r="A2092" s="3" t="s">
        <v>15</v>
      </c>
      <c r="B2092" s="3" t="str">
        <f>"080002562718"</f>
        <v>080002562718</v>
      </c>
      <c r="C2092" s="3" t="s">
        <v>1660</v>
      </c>
      <c r="D2092" s="3">
        <v>1</v>
      </c>
      <c r="E2092" s="3" t="str">
        <f>""</f>
        <v/>
      </c>
      <c r="F2092" s="3" t="s">
        <v>17</v>
      </c>
      <c r="G2092" s="3" t="s">
        <v>70</v>
      </c>
      <c r="H2092" s="3" t="s">
        <v>18</v>
      </c>
      <c r="I2092" s="3" t="s">
        <v>29</v>
      </c>
      <c r="J2092" s="3" t="s">
        <v>529</v>
      </c>
      <c r="K2092" s="3" t="s">
        <v>1666</v>
      </c>
      <c r="L2092" s="4">
        <v>0.33611111111111108</v>
      </c>
      <c r="M2092" s="3" t="s">
        <v>31</v>
      </c>
      <c r="N2092" s="3" t="s">
        <v>24</v>
      </c>
      <c r="O2092" s="3" t="s">
        <v>25</v>
      </c>
    </row>
    <row r="2093" spans="1:15">
      <c r="A2093" s="3" t="s">
        <v>15</v>
      </c>
      <c r="B2093" s="3" t="str">
        <f>"FES1162742141"</f>
        <v>FES1162742141</v>
      </c>
      <c r="C2093" s="3" t="s">
        <v>1660</v>
      </c>
      <c r="D2093" s="3">
        <v>1</v>
      </c>
      <c r="E2093" s="3" t="str">
        <f>"2170733658"</f>
        <v>2170733658</v>
      </c>
      <c r="F2093" s="3" t="s">
        <v>17</v>
      </c>
      <c r="G2093" s="3" t="s">
        <v>18</v>
      </c>
      <c r="H2093" s="3" t="s">
        <v>948</v>
      </c>
      <c r="I2093" s="3" t="s">
        <v>1762</v>
      </c>
      <c r="J2093" s="3" t="s">
        <v>1493</v>
      </c>
      <c r="K2093" s="3" t="s">
        <v>1666</v>
      </c>
      <c r="L2093" s="4">
        <v>0.4375</v>
      </c>
      <c r="M2093" s="3" t="s">
        <v>1763</v>
      </c>
      <c r="N2093" s="3" t="s">
        <v>24</v>
      </c>
      <c r="O2093" s="3" t="s">
        <v>25</v>
      </c>
    </row>
    <row r="2094" spans="1:15">
      <c r="A2094" s="3" t="s">
        <v>15</v>
      </c>
      <c r="B2094" s="3" t="str">
        <f>"FES1162742094"</f>
        <v>FES1162742094</v>
      </c>
      <c r="C2094" s="3" t="s">
        <v>1660</v>
      </c>
      <c r="D2094" s="3">
        <v>1</v>
      </c>
      <c r="E2094" s="3" t="str">
        <f>"2170731062"</f>
        <v>2170731062</v>
      </c>
      <c r="F2094" s="3" t="s">
        <v>17</v>
      </c>
      <c r="G2094" s="3" t="s">
        <v>18</v>
      </c>
      <c r="H2094" s="3" t="s">
        <v>36</v>
      </c>
      <c r="I2094" s="3" t="s">
        <v>330</v>
      </c>
      <c r="J2094" s="3" t="s">
        <v>1764</v>
      </c>
      <c r="K2094" s="3" t="s">
        <v>1666</v>
      </c>
      <c r="L2094" s="4">
        <v>0.42708333333333331</v>
      </c>
      <c r="M2094" s="3" t="s">
        <v>1765</v>
      </c>
      <c r="N2094" s="3" t="s">
        <v>24</v>
      </c>
      <c r="O2094" s="3" t="s">
        <v>25</v>
      </c>
    </row>
    <row r="2095" spans="1:15">
      <c r="A2095" s="3" t="s">
        <v>15</v>
      </c>
      <c r="B2095" s="3" t="str">
        <f>"FES1162742096"</f>
        <v>FES1162742096</v>
      </c>
      <c r="C2095" s="3" t="s">
        <v>1660</v>
      </c>
      <c r="D2095" s="3">
        <v>1</v>
      </c>
      <c r="E2095" s="3" t="str">
        <f>"2170731470"</f>
        <v>2170731470</v>
      </c>
      <c r="F2095" s="3" t="s">
        <v>17</v>
      </c>
      <c r="G2095" s="3" t="s">
        <v>18</v>
      </c>
      <c r="H2095" s="3" t="s">
        <v>46</v>
      </c>
      <c r="I2095" s="3" t="s">
        <v>47</v>
      </c>
      <c r="J2095" s="3" t="s">
        <v>241</v>
      </c>
      <c r="K2095" s="3" t="s">
        <v>1666</v>
      </c>
      <c r="L2095" s="4">
        <v>0.41666666666666669</v>
      </c>
      <c r="M2095" s="3" t="s">
        <v>1766</v>
      </c>
      <c r="N2095" s="3" t="s">
        <v>24</v>
      </c>
      <c r="O2095" s="3" t="s">
        <v>25</v>
      </c>
    </row>
    <row r="2096" spans="1:15">
      <c r="A2096" s="3" t="s">
        <v>15</v>
      </c>
      <c r="B2096" s="3" t="str">
        <f>"FES1162742100"</f>
        <v>FES1162742100</v>
      </c>
      <c r="C2096" s="3" t="s">
        <v>1660</v>
      </c>
      <c r="D2096" s="3">
        <v>1</v>
      </c>
      <c r="E2096" s="3" t="str">
        <f>"2170733088"</f>
        <v>2170733088</v>
      </c>
      <c r="F2096" s="3" t="s">
        <v>17</v>
      </c>
      <c r="G2096" s="3" t="s">
        <v>18</v>
      </c>
      <c r="H2096" s="3" t="s">
        <v>46</v>
      </c>
      <c r="I2096" s="3" t="s">
        <v>47</v>
      </c>
      <c r="J2096" s="3" t="s">
        <v>390</v>
      </c>
      <c r="K2096" s="3" t="s">
        <v>1666</v>
      </c>
      <c r="L2096" s="4">
        <v>0.37013888888888885</v>
      </c>
      <c r="M2096" s="3" t="s">
        <v>1767</v>
      </c>
      <c r="N2096" s="3" t="s">
        <v>24</v>
      </c>
      <c r="O2096" s="3" t="s">
        <v>25</v>
      </c>
    </row>
    <row r="2097" spans="1:15">
      <c r="A2097" s="3" t="s">
        <v>15</v>
      </c>
      <c r="B2097" s="3" t="str">
        <f>"FES1162742133"</f>
        <v>FES1162742133</v>
      </c>
      <c r="C2097" s="3" t="s">
        <v>1660</v>
      </c>
      <c r="D2097" s="3">
        <v>1</v>
      </c>
      <c r="E2097" s="3" t="str">
        <f>"2170731207"</f>
        <v>2170731207</v>
      </c>
      <c r="F2097" s="3" t="s">
        <v>17</v>
      </c>
      <c r="G2097" s="3" t="s">
        <v>18</v>
      </c>
      <c r="H2097" s="3" t="s">
        <v>36</v>
      </c>
      <c r="I2097" s="3" t="s">
        <v>37</v>
      </c>
      <c r="J2097" s="3" t="s">
        <v>187</v>
      </c>
      <c r="K2097" s="3" t="s">
        <v>1666</v>
      </c>
      <c r="L2097" s="4">
        <v>0.33333333333333331</v>
      </c>
      <c r="M2097" s="3" t="s">
        <v>1768</v>
      </c>
      <c r="N2097" s="3" t="s">
        <v>24</v>
      </c>
      <c r="O2097" s="3" t="s">
        <v>25</v>
      </c>
    </row>
    <row r="2098" spans="1:15">
      <c r="A2098" s="3" t="s">
        <v>15</v>
      </c>
      <c r="B2098" s="3" t="str">
        <f>"FES1162742146"</f>
        <v>FES1162742146</v>
      </c>
      <c r="C2098" s="3" t="s">
        <v>1660</v>
      </c>
      <c r="D2098" s="3">
        <v>1</v>
      </c>
      <c r="E2098" s="3" t="str">
        <f>"2170733663"</f>
        <v>2170733663</v>
      </c>
      <c r="F2098" s="3" t="s">
        <v>17</v>
      </c>
      <c r="G2098" s="3" t="s">
        <v>18</v>
      </c>
      <c r="H2098" s="3" t="s">
        <v>18</v>
      </c>
      <c r="I2098" s="3" t="s">
        <v>29</v>
      </c>
      <c r="J2098" s="3" t="s">
        <v>487</v>
      </c>
      <c r="K2098" s="3" t="s">
        <v>1666</v>
      </c>
      <c r="L2098" s="4">
        <v>0.33333333333333331</v>
      </c>
      <c r="M2098" s="3" t="s">
        <v>1769</v>
      </c>
      <c r="N2098" s="3" t="s">
        <v>24</v>
      </c>
      <c r="O2098" s="3" t="s">
        <v>25</v>
      </c>
    </row>
    <row r="2099" spans="1:15">
      <c r="A2099" s="3" t="s">
        <v>15</v>
      </c>
      <c r="B2099" s="3" t="str">
        <f>"FES1162742111"</f>
        <v>FES1162742111</v>
      </c>
      <c r="C2099" s="3" t="s">
        <v>1660</v>
      </c>
      <c r="D2099" s="3">
        <v>1</v>
      </c>
      <c r="E2099" s="3" t="str">
        <f>"2170733613"</f>
        <v>2170733613</v>
      </c>
      <c r="F2099" s="3" t="s">
        <v>17</v>
      </c>
      <c r="G2099" s="3" t="s">
        <v>18</v>
      </c>
      <c r="H2099" s="3" t="s">
        <v>36</v>
      </c>
      <c r="I2099" s="3" t="s">
        <v>37</v>
      </c>
      <c r="J2099" s="3" t="s">
        <v>38</v>
      </c>
      <c r="K2099" s="3" t="s">
        <v>1666</v>
      </c>
      <c r="L2099" s="4">
        <v>0.40069444444444446</v>
      </c>
      <c r="M2099" s="3" t="s">
        <v>377</v>
      </c>
      <c r="N2099" s="3" t="s">
        <v>24</v>
      </c>
      <c r="O2099" s="3" t="s">
        <v>25</v>
      </c>
    </row>
    <row r="2100" spans="1:15">
      <c r="A2100" s="3" t="s">
        <v>15</v>
      </c>
      <c r="B2100" s="3" t="str">
        <f>"FES1162742112"</f>
        <v>FES1162742112</v>
      </c>
      <c r="C2100" s="3" t="s">
        <v>1660</v>
      </c>
      <c r="D2100" s="3">
        <v>1</v>
      </c>
      <c r="E2100" s="3" t="str">
        <f>"2170733614"</f>
        <v>2170733614</v>
      </c>
      <c r="F2100" s="3" t="s">
        <v>17</v>
      </c>
      <c r="G2100" s="3" t="s">
        <v>18</v>
      </c>
      <c r="H2100" s="3" t="s">
        <v>36</v>
      </c>
      <c r="I2100" s="3" t="s">
        <v>37</v>
      </c>
      <c r="J2100" s="3" t="s">
        <v>275</v>
      </c>
      <c r="K2100" s="3" t="s">
        <v>1666</v>
      </c>
      <c r="L2100" s="4">
        <v>0.37708333333333338</v>
      </c>
      <c r="M2100" s="3" t="s">
        <v>276</v>
      </c>
      <c r="N2100" s="3" t="s">
        <v>24</v>
      </c>
      <c r="O2100" s="3" t="s">
        <v>25</v>
      </c>
    </row>
    <row r="2101" spans="1:15">
      <c r="A2101" s="3" t="s">
        <v>15</v>
      </c>
      <c r="B2101" s="3" t="str">
        <f>"FES1162742097"</f>
        <v>FES1162742097</v>
      </c>
      <c r="C2101" s="3" t="s">
        <v>1660</v>
      </c>
      <c r="D2101" s="3">
        <v>1</v>
      </c>
      <c r="E2101" s="3" t="str">
        <f>"2170731909"</f>
        <v>2170731909</v>
      </c>
      <c r="F2101" s="3" t="s">
        <v>17</v>
      </c>
      <c r="G2101" s="3" t="s">
        <v>18</v>
      </c>
      <c r="H2101" s="3" t="s">
        <v>18</v>
      </c>
      <c r="I2101" s="3" t="s">
        <v>29</v>
      </c>
      <c r="J2101" s="3" t="s">
        <v>1647</v>
      </c>
      <c r="K2101" s="3" t="s">
        <v>1666</v>
      </c>
      <c r="L2101" s="4">
        <v>0.34513888888888888</v>
      </c>
      <c r="M2101" s="3" t="s">
        <v>1215</v>
      </c>
      <c r="N2101" s="3" t="s">
        <v>24</v>
      </c>
      <c r="O2101" s="3" t="s">
        <v>25</v>
      </c>
    </row>
    <row r="2102" spans="1:15">
      <c r="A2102" s="3" t="s">
        <v>15</v>
      </c>
      <c r="B2102" s="3" t="str">
        <f>"FES1162742109"</f>
        <v>FES1162742109</v>
      </c>
      <c r="C2102" s="3" t="s">
        <v>1660</v>
      </c>
      <c r="D2102" s="3">
        <v>1</v>
      </c>
      <c r="E2102" s="3" t="str">
        <f>"21707333599"</f>
        <v>21707333599</v>
      </c>
      <c r="F2102" s="3" t="s">
        <v>17</v>
      </c>
      <c r="G2102" s="3" t="s">
        <v>18</v>
      </c>
      <c r="H2102" s="3" t="s">
        <v>66</v>
      </c>
      <c r="I2102" s="3" t="s">
        <v>177</v>
      </c>
      <c r="J2102" s="3" t="s">
        <v>590</v>
      </c>
      <c r="K2102" s="3" t="s">
        <v>1666</v>
      </c>
      <c r="L2102" s="4">
        <v>0.41597222222222219</v>
      </c>
      <c r="M2102" s="3" t="s">
        <v>591</v>
      </c>
      <c r="N2102" s="3" t="s">
        <v>24</v>
      </c>
      <c r="O2102" s="3" t="s">
        <v>25</v>
      </c>
    </row>
    <row r="2103" spans="1:15">
      <c r="A2103" s="3" t="s">
        <v>15</v>
      </c>
      <c r="B2103" s="3" t="str">
        <f>"FES1162742088"</f>
        <v>FES1162742088</v>
      </c>
      <c r="C2103" s="3" t="s">
        <v>1660</v>
      </c>
      <c r="D2103" s="3">
        <v>1</v>
      </c>
      <c r="E2103" s="3" t="str">
        <f>"2170733610"</f>
        <v>2170733610</v>
      </c>
      <c r="F2103" s="3" t="s">
        <v>17</v>
      </c>
      <c r="G2103" s="3" t="s">
        <v>18</v>
      </c>
      <c r="H2103" s="3" t="s">
        <v>100</v>
      </c>
      <c r="I2103" s="3" t="s">
        <v>101</v>
      </c>
      <c r="J2103" s="3" t="s">
        <v>265</v>
      </c>
      <c r="K2103" s="3" t="s">
        <v>1666</v>
      </c>
      <c r="L2103" s="4">
        <v>0.30486111111111108</v>
      </c>
      <c r="M2103" s="3" t="s">
        <v>1770</v>
      </c>
      <c r="N2103" s="3" t="s">
        <v>24</v>
      </c>
      <c r="O2103" s="3" t="s">
        <v>25</v>
      </c>
    </row>
    <row r="2104" spans="1:15">
      <c r="A2104" s="3" t="s">
        <v>15</v>
      </c>
      <c r="B2104" s="3" t="str">
        <f>"FES1162742131"</f>
        <v>FES1162742131</v>
      </c>
      <c r="C2104" s="3" t="s">
        <v>1660</v>
      </c>
      <c r="D2104" s="3">
        <v>1</v>
      </c>
      <c r="E2104" s="3" t="str">
        <f>"2170733644"</f>
        <v>2170733644</v>
      </c>
      <c r="F2104" s="3" t="s">
        <v>17</v>
      </c>
      <c r="G2104" s="3" t="s">
        <v>18</v>
      </c>
      <c r="H2104" s="3" t="s">
        <v>100</v>
      </c>
      <c r="I2104" s="3" t="s">
        <v>101</v>
      </c>
      <c r="J2104" s="3" t="s">
        <v>1108</v>
      </c>
      <c r="K2104" s="3" t="s">
        <v>1666</v>
      </c>
      <c r="L2104" s="4">
        <v>0.29930555555555555</v>
      </c>
      <c r="M2104" s="3" t="s">
        <v>1771</v>
      </c>
      <c r="N2104" s="3" t="s">
        <v>24</v>
      </c>
      <c r="O2104" s="3" t="s">
        <v>25</v>
      </c>
    </row>
    <row r="2105" spans="1:15">
      <c r="A2105" s="3" t="s">
        <v>15</v>
      </c>
      <c r="B2105" s="3" t="str">
        <f>"FES1162742140"</f>
        <v>FES1162742140</v>
      </c>
      <c r="C2105" s="3" t="s">
        <v>1660</v>
      </c>
      <c r="D2105" s="3">
        <v>1</v>
      </c>
      <c r="E2105" s="3" t="str">
        <f>"2170733657"</f>
        <v>2170733657</v>
      </c>
      <c r="F2105" s="3" t="s">
        <v>17</v>
      </c>
      <c r="G2105" s="3" t="s">
        <v>18</v>
      </c>
      <c r="H2105" s="3" t="s">
        <v>100</v>
      </c>
      <c r="I2105" s="3" t="s">
        <v>101</v>
      </c>
      <c r="J2105" s="3" t="s">
        <v>1217</v>
      </c>
      <c r="K2105" s="3" t="s">
        <v>1666</v>
      </c>
      <c r="L2105" s="4">
        <v>0.36319444444444443</v>
      </c>
      <c r="M2105" s="3" t="s">
        <v>254</v>
      </c>
      <c r="N2105" s="3" t="s">
        <v>24</v>
      </c>
      <c r="O2105" s="3" t="s">
        <v>25</v>
      </c>
    </row>
    <row r="2106" spans="1:15">
      <c r="A2106" s="3" t="s">
        <v>15</v>
      </c>
      <c r="B2106" s="3" t="str">
        <f>"FES1162742147"</f>
        <v>FES1162742147</v>
      </c>
      <c r="C2106" s="3" t="s">
        <v>1660</v>
      </c>
      <c r="D2106" s="3">
        <v>1</v>
      </c>
      <c r="E2106" s="3" t="str">
        <f>"2170733664"</f>
        <v>2170733664</v>
      </c>
      <c r="F2106" s="3" t="s">
        <v>17</v>
      </c>
      <c r="G2106" s="3" t="s">
        <v>18</v>
      </c>
      <c r="H2106" s="3" t="s">
        <v>1304</v>
      </c>
      <c r="I2106" s="3" t="s">
        <v>117</v>
      </c>
      <c r="J2106" s="3" t="s">
        <v>1772</v>
      </c>
      <c r="K2106" s="3" t="s">
        <v>1666</v>
      </c>
      <c r="L2106" s="4">
        <v>0.52500000000000002</v>
      </c>
      <c r="M2106" s="3" t="s">
        <v>1773</v>
      </c>
      <c r="N2106" s="3" t="s">
        <v>24</v>
      </c>
      <c r="O2106" s="3" t="s">
        <v>25</v>
      </c>
    </row>
    <row r="2107" spans="1:15">
      <c r="A2107" s="3" t="s">
        <v>15</v>
      </c>
      <c r="B2107" s="3" t="str">
        <f>"FES1162732556"</f>
        <v>FES1162732556</v>
      </c>
      <c r="C2107" s="3" t="s">
        <v>1660</v>
      </c>
      <c r="D2107" s="3">
        <v>1</v>
      </c>
      <c r="E2107" s="3" t="str">
        <f>"2170722931"</f>
        <v>2170722931</v>
      </c>
      <c r="F2107" s="3" t="s">
        <v>17</v>
      </c>
      <c r="G2107" s="3" t="s">
        <v>18</v>
      </c>
      <c r="H2107" s="3" t="s">
        <v>18</v>
      </c>
      <c r="I2107" s="3" t="s">
        <v>151</v>
      </c>
      <c r="J2107" s="3" t="s">
        <v>493</v>
      </c>
      <c r="K2107" s="3" t="s">
        <v>1666</v>
      </c>
      <c r="L2107" s="4">
        <v>0.3263888888888889</v>
      </c>
      <c r="M2107" s="3" t="s">
        <v>520</v>
      </c>
      <c r="N2107" s="3" t="s">
        <v>24</v>
      </c>
      <c r="O2107" s="3" t="s">
        <v>25</v>
      </c>
    </row>
    <row r="2108" spans="1:15">
      <c r="A2108" s="5" t="s">
        <v>15</v>
      </c>
      <c r="B2108" s="5" t="str">
        <f>"FES1162742187"</f>
        <v>FES1162742187</v>
      </c>
      <c r="C2108" s="5" t="s">
        <v>1660</v>
      </c>
      <c r="D2108" s="5">
        <v>1</v>
      </c>
      <c r="E2108" s="5" t="str">
        <f>"2170733679"</f>
        <v>2170733679</v>
      </c>
      <c r="F2108" s="5" t="s">
        <v>17</v>
      </c>
      <c r="G2108" s="5" t="s">
        <v>18</v>
      </c>
      <c r="H2108" s="5" t="s">
        <v>36</v>
      </c>
      <c r="I2108" s="5" t="s">
        <v>37</v>
      </c>
      <c r="J2108" s="5" t="s">
        <v>187</v>
      </c>
      <c r="K2108" s="5" t="s">
        <v>1666</v>
      </c>
      <c r="L2108" s="6">
        <v>0.33333333333333331</v>
      </c>
      <c r="M2108" s="5" t="s">
        <v>1774</v>
      </c>
      <c r="N2108" s="5" t="s">
        <v>24</v>
      </c>
      <c r="O2108" s="5" t="s">
        <v>25</v>
      </c>
    </row>
    <row r="2109" spans="1:15">
      <c r="A2109" s="5" t="s">
        <v>15</v>
      </c>
      <c r="B2109" s="5" t="str">
        <f>"FES1162742189"</f>
        <v>FES1162742189</v>
      </c>
      <c r="C2109" s="5" t="s">
        <v>1660</v>
      </c>
      <c r="D2109" s="5">
        <v>2</v>
      </c>
      <c r="E2109" s="5" t="str">
        <f>"2170729586"</f>
        <v>2170729586</v>
      </c>
      <c r="F2109" s="5" t="s">
        <v>17</v>
      </c>
      <c r="G2109" s="5" t="s">
        <v>18</v>
      </c>
      <c r="H2109" s="5" t="s">
        <v>18</v>
      </c>
      <c r="I2109" s="5" t="s">
        <v>151</v>
      </c>
      <c r="J2109" s="5" t="s">
        <v>1775</v>
      </c>
      <c r="K2109" s="5" t="s">
        <v>1666</v>
      </c>
      <c r="L2109" s="6">
        <v>0.33749999999999997</v>
      </c>
      <c r="M2109" s="5" t="s">
        <v>1776</v>
      </c>
      <c r="N2109" s="5" t="s">
        <v>24</v>
      </c>
      <c r="O2109" s="5" t="s">
        <v>25</v>
      </c>
    </row>
    <row r="2110" spans="1:15">
      <c r="A2110" s="5" t="s">
        <v>15</v>
      </c>
      <c r="B2110" s="5" t="str">
        <f>"FES1162742099"</f>
        <v>FES1162742099</v>
      </c>
      <c r="C2110" s="5" t="s">
        <v>1660</v>
      </c>
      <c r="D2110" s="5">
        <v>1</v>
      </c>
      <c r="E2110" s="5" t="str">
        <f>"2170732461"</f>
        <v>2170732461</v>
      </c>
      <c r="F2110" s="5" t="s">
        <v>17</v>
      </c>
      <c r="G2110" s="5" t="s">
        <v>18</v>
      </c>
      <c r="H2110" s="5" t="s">
        <v>19</v>
      </c>
      <c r="I2110" s="5" t="s">
        <v>445</v>
      </c>
      <c r="J2110" s="5" t="s">
        <v>446</v>
      </c>
      <c r="K2110" s="5" t="s">
        <v>1666</v>
      </c>
      <c r="L2110" s="6">
        <v>0.4375</v>
      </c>
      <c r="M2110" s="5" t="s">
        <v>1777</v>
      </c>
      <c r="N2110" s="5" t="s">
        <v>24</v>
      </c>
      <c r="O2110" s="5" t="s">
        <v>25</v>
      </c>
    </row>
    <row r="2111" spans="1:15">
      <c r="A2111" s="5" t="s">
        <v>15</v>
      </c>
      <c r="B2111" s="5" t="str">
        <f>"FES1162742169"</f>
        <v>FES1162742169</v>
      </c>
      <c r="C2111" s="5" t="s">
        <v>1660</v>
      </c>
      <c r="D2111" s="5">
        <v>2</v>
      </c>
      <c r="E2111" s="5" t="str">
        <f>"2170731740"</f>
        <v>2170731740</v>
      </c>
      <c r="F2111" s="5" t="s">
        <v>17</v>
      </c>
      <c r="G2111" s="5" t="s">
        <v>18</v>
      </c>
      <c r="H2111" s="5" t="s">
        <v>886</v>
      </c>
      <c r="I2111" s="5" t="s">
        <v>887</v>
      </c>
      <c r="J2111" s="5" t="s">
        <v>1778</v>
      </c>
      <c r="K2111" s="5" t="s">
        <v>1666</v>
      </c>
      <c r="L2111" s="6">
        <v>0.4375</v>
      </c>
      <c r="M2111" s="5" t="s">
        <v>1779</v>
      </c>
      <c r="N2111" s="5" t="s">
        <v>24</v>
      </c>
      <c r="O2111" s="5" t="s">
        <v>25</v>
      </c>
    </row>
    <row r="2112" spans="1:15">
      <c r="A2112" s="5" t="s">
        <v>15</v>
      </c>
      <c r="B2112" s="5" t="str">
        <f>"FES1162742162"</f>
        <v>FES1162742162</v>
      </c>
      <c r="C2112" s="5" t="s">
        <v>1660</v>
      </c>
      <c r="D2112" s="5">
        <v>2</v>
      </c>
      <c r="E2112" s="5" t="str">
        <f>"2170730956"</f>
        <v>2170730956</v>
      </c>
      <c r="F2112" s="5" t="s">
        <v>528</v>
      </c>
      <c r="G2112" s="5" t="s">
        <v>948</v>
      </c>
      <c r="H2112" s="5" t="s">
        <v>19</v>
      </c>
      <c r="I2112" s="5" t="s">
        <v>20</v>
      </c>
      <c r="J2112" s="5" t="s">
        <v>420</v>
      </c>
      <c r="K2112" s="5" t="s">
        <v>1666</v>
      </c>
      <c r="L2112" s="6">
        <v>0.65277777777777779</v>
      </c>
      <c r="M2112" s="5" t="s">
        <v>1780</v>
      </c>
      <c r="N2112" s="5" t="s">
        <v>24</v>
      </c>
      <c r="O2112" s="5" t="s">
        <v>25</v>
      </c>
    </row>
    <row r="2113" spans="1:15">
      <c r="A2113" s="5" t="s">
        <v>15</v>
      </c>
      <c r="B2113" s="5" t="str">
        <f>"FES1162742160"</f>
        <v>FES1162742160</v>
      </c>
      <c r="C2113" s="5" t="s">
        <v>1660</v>
      </c>
      <c r="D2113" s="5">
        <v>1</v>
      </c>
      <c r="E2113" s="5" t="str">
        <f>"2170730512"</f>
        <v>2170730512</v>
      </c>
      <c r="F2113" s="5" t="s">
        <v>17</v>
      </c>
      <c r="G2113" s="5" t="s">
        <v>18</v>
      </c>
      <c r="H2113" s="5" t="s">
        <v>19</v>
      </c>
      <c r="I2113" s="5" t="s">
        <v>20</v>
      </c>
      <c r="J2113" s="5" t="s">
        <v>104</v>
      </c>
      <c r="K2113" s="5" t="s">
        <v>1666</v>
      </c>
      <c r="L2113" s="6">
        <v>0.38263888888888892</v>
      </c>
      <c r="M2113" s="5" t="s">
        <v>105</v>
      </c>
      <c r="N2113" s="5" t="s">
        <v>24</v>
      </c>
      <c r="O2113" s="5" t="s">
        <v>25</v>
      </c>
    </row>
    <row r="2114" spans="1:15">
      <c r="A2114" s="5" t="s">
        <v>15</v>
      </c>
      <c r="B2114" s="5" t="str">
        <f>"FES1162742092"</f>
        <v>FES1162742092</v>
      </c>
      <c r="C2114" s="5" t="s">
        <v>1660</v>
      </c>
      <c r="D2114" s="5">
        <v>1</v>
      </c>
      <c r="E2114" s="5" t="str">
        <f>"2170730867"</f>
        <v>2170730867</v>
      </c>
      <c r="F2114" s="5" t="s">
        <v>17</v>
      </c>
      <c r="G2114" s="5" t="s">
        <v>18</v>
      </c>
      <c r="H2114" s="5" t="s">
        <v>70</v>
      </c>
      <c r="I2114" s="5" t="s">
        <v>71</v>
      </c>
      <c r="J2114" s="5" t="s">
        <v>1141</v>
      </c>
      <c r="K2114" s="5" t="s">
        <v>1666</v>
      </c>
      <c r="L2114" s="6">
        <v>0.37916666666666665</v>
      </c>
      <c r="M2114" s="5" t="s">
        <v>1781</v>
      </c>
      <c r="N2114" s="5" t="s">
        <v>24</v>
      </c>
      <c r="O2114" s="5" t="s">
        <v>25</v>
      </c>
    </row>
    <row r="2115" spans="1:15">
      <c r="A2115" s="5" t="s">
        <v>15</v>
      </c>
      <c r="B2115" s="5" t="str">
        <f>"FES1162742165"</f>
        <v>FES1162742165</v>
      </c>
      <c r="C2115" s="5" t="s">
        <v>1660</v>
      </c>
      <c r="D2115" s="5">
        <v>1</v>
      </c>
      <c r="E2115" s="5" t="str">
        <f>"2170731502"</f>
        <v>2170731502</v>
      </c>
      <c r="F2115" s="5" t="s">
        <v>17</v>
      </c>
      <c r="G2115" s="5" t="s">
        <v>18</v>
      </c>
      <c r="H2115" s="5" t="s">
        <v>19</v>
      </c>
      <c r="I2115" s="5" t="s">
        <v>86</v>
      </c>
      <c r="J2115" s="5" t="s">
        <v>273</v>
      </c>
      <c r="K2115" s="5" t="s">
        <v>1666</v>
      </c>
      <c r="L2115" s="6">
        <v>0.4055555555555555</v>
      </c>
      <c r="M2115" s="5" t="s">
        <v>1782</v>
      </c>
      <c r="N2115" s="5" t="s">
        <v>24</v>
      </c>
      <c r="O2115" s="5" t="s">
        <v>25</v>
      </c>
    </row>
    <row r="2116" spans="1:15">
      <c r="A2116" s="5" t="s">
        <v>15</v>
      </c>
      <c r="B2116" s="5" t="str">
        <f>"FES1162742175"</f>
        <v>FES1162742175</v>
      </c>
      <c r="C2116" s="5" t="s">
        <v>1660</v>
      </c>
      <c r="D2116" s="5">
        <v>2</v>
      </c>
      <c r="E2116" s="5" t="str">
        <f>"21707314488"</f>
        <v>21707314488</v>
      </c>
      <c r="F2116" s="5" t="s">
        <v>17</v>
      </c>
      <c r="G2116" s="5" t="s">
        <v>18</v>
      </c>
      <c r="H2116" s="5" t="s">
        <v>36</v>
      </c>
      <c r="I2116" s="5" t="s">
        <v>37</v>
      </c>
      <c r="J2116" s="5" t="s">
        <v>187</v>
      </c>
      <c r="K2116" s="5" t="s">
        <v>1666</v>
      </c>
      <c r="L2116" s="6">
        <v>0.4375</v>
      </c>
      <c r="M2116" s="5" t="s">
        <v>188</v>
      </c>
      <c r="N2116" s="5" t="s">
        <v>24</v>
      </c>
      <c r="O2116" s="5" t="s">
        <v>25</v>
      </c>
    </row>
    <row r="2117" spans="1:15">
      <c r="A2117" s="3" t="s">
        <v>15</v>
      </c>
      <c r="B2117" s="3" t="str">
        <f>"FES1162742184"</f>
        <v>FES1162742184</v>
      </c>
      <c r="C2117" s="3" t="s">
        <v>1660</v>
      </c>
      <c r="D2117" s="3">
        <v>1</v>
      </c>
      <c r="E2117" s="3" t="str">
        <f>"217073128"</f>
        <v>217073128</v>
      </c>
      <c r="F2117" s="3" t="s">
        <v>17</v>
      </c>
      <c r="G2117" s="3" t="s">
        <v>18</v>
      </c>
      <c r="H2117" s="3" t="s">
        <v>19</v>
      </c>
      <c r="I2117" s="3" t="s">
        <v>51</v>
      </c>
      <c r="J2117" s="3" t="s">
        <v>1463</v>
      </c>
      <c r="K2117" s="3" t="s">
        <v>1666</v>
      </c>
      <c r="L2117" s="4">
        <v>0.3979166666666667</v>
      </c>
      <c r="M2117" s="3" t="s">
        <v>1783</v>
      </c>
      <c r="N2117" s="3" t="s">
        <v>24</v>
      </c>
      <c r="O2117" s="3" t="s">
        <v>25</v>
      </c>
    </row>
    <row r="2118" spans="1:15">
      <c r="A2118" s="3" t="s">
        <v>15</v>
      </c>
      <c r="B2118" s="3" t="str">
        <f>"FES1162742151"</f>
        <v>FES1162742151</v>
      </c>
      <c r="C2118" s="3" t="s">
        <v>1660</v>
      </c>
      <c r="D2118" s="3">
        <v>1</v>
      </c>
      <c r="E2118" s="3" t="str">
        <f>"2170732281"</f>
        <v>2170732281</v>
      </c>
      <c r="F2118" s="3" t="s">
        <v>17</v>
      </c>
      <c r="G2118" s="3" t="s">
        <v>18</v>
      </c>
      <c r="H2118" s="3" t="s">
        <v>19</v>
      </c>
      <c r="I2118" s="3" t="s">
        <v>51</v>
      </c>
      <c r="J2118" s="3" t="s">
        <v>91</v>
      </c>
      <c r="K2118" s="3" t="s">
        <v>1666</v>
      </c>
      <c r="L2118" s="4">
        <v>0.41111111111111115</v>
      </c>
      <c r="M2118" s="3" t="s">
        <v>1784</v>
      </c>
      <c r="N2118" s="3" t="s">
        <v>24</v>
      </c>
      <c r="O2118" s="3" t="s">
        <v>25</v>
      </c>
    </row>
    <row r="2119" spans="1:15">
      <c r="A2119" s="3" t="s">
        <v>15</v>
      </c>
      <c r="B2119" s="3" t="str">
        <f>"FES1162742178"</f>
        <v>FES1162742178</v>
      </c>
      <c r="C2119" s="3" t="s">
        <v>1660</v>
      </c>
      <c r="D2119" s="3">
        <v>1</v>
      </c>
      <c r="E2119" s="3" t="str">
        <f>"2170731014"</f>
        <v>2170731014</v>
      </c>
      <c r="F2119" s="3" t="s">
        <v>17</v>
      </c>
      <c r="G2119" s="3" t="s">
        <v>18</v>
      </c>
      <c r="H2119" s="3" t="s">
        <v>36</v>
      </c>
      <c r="I2119" s="3" t="s">
        <v>330</v>
      </c>
      <c r="J2119" s="3" t="s">
        <v>331</v>
      </c>
      <c r="K2119" s="3" t="s">
        <v>1666</v>
      </c>
      <c r="L2119" s="4">
        <v>0.42430555555555555</v>
      </c>
      <c r="M2119" s="3" t="s">
        <v>332</v>
      </c>
      <c r="N2119" s="3" t="s">
        <v>24</v>
      </c>
      <c r="O2119" s="3" t="s">
        <v>25</v>
      </c>
    </row>
    <row r="2120" spans="1:15">
      <c r="A2120" s="3" t="s">
        <v>15</v>
      </c>
      <c r="B2120" s="3" t="str">
        <f>"FES1162742166"</f>
        <v>FES1162742166</v>
      </c>
      <c r="C2120" s="3" t="s">
        <v>1660</v>
      </c>
      <c r="D2120" s="3">
        <v>1</v>
      </c>
      <c r="E2120" s="3" t="str">
        <f>"2170731542"</f>
        <v>2170731542</v>
      </c>
      <c r="F2120" s="3" t="s">
        <v>17</v>
      </c>
      <c r="G2120" s="3" t="s">
        <v>18</v>
      </c>
      <c r="H2120" s="3" t="s">
        <v>36</v>
      </c>
      <c r="I2120" s="3" t="s">
        <v>37</v>
      </c>
      <c r="J2120" s="3" t="s">
        <v>133</v>
      </c>
      <c r="K2120" s="3" t="s">
        <v>1666</v>
      </c>
      <c r="L2120" s="4">
        <v>0.43194444444444446</v>
      </c>
      <c r="M2120" s="3" t="s">
        <v>1785</v>
      </c>
      <c r="N2120" s="3" t="s">
        <v>24</v>
      </c>
      <c r="O2120" s="3" t="s">
        <v>25</v>
      </c>
    </row>
    <row r="2121" spans="1:15">
      <c r="A2121" s="3" t="s">
        <v>15</v>
      </c>
      <c r="B2121" s="3" t="str">
        <f>"FES1162742142"</f>
        <v>FES1162742142</v>
      </c>
      <c r="C2121" s="3" t="s">
        <v>1660</v>
      </c>
      <c r="D2121" s="3">
        <v>1</v>
      </c>
      <c r="E2121" s="3" t="str">
        <f>"2170733659"</f>
        <v>2170733659</v>
      </c>
      <c r="F2121" s="3" t="s">
        <v>17</v>
      </c>
      <c r="G2121" s="3" t="s">
        <v>18</v>
      </c>
      <c r="H2121" s="3" t="s">
        <v>19</v>
      </c>
      <c r="I2121" s="3" t="s">
        <v>236</v>
      </c>
      <c r="J2121" s="3" t="s">
        <v>633</v>
      </c>
      <c r="K2121" s="3" t="s">
        <v>1666</v>
      </c>
      <c r="L2121" s="4">
        <v>0.41666666666666669</v>
      </c>
      <c r="M2121" s="3" t="s">
        <v>200</v>
      </c>
      <c r="N2121" s="3" t="s">
        <v>24</v>
      </c>
      <c r="O2121" s="3" t="s">
        <v>25</v>
      </c>
    </row>
    <row r="2122" spans="1:15">
      <c r="A2122" s="3" t="s">
        <v>15</v>
      </c>
      <c r="B2122" s="3" t="str">
        <f>"FES1162742139"</f>
        <v>FES1162742139</v>
      </c>
      <c r="C2122" s="3" t="s">
        <v>1660</v>
      </c>
      <c r="D2122" s="3">
        <v>1</v>
      </c>
      <c r="E2122" s="3" t="str">
        <f>"2170733656"</f>
        <v>2170733656</v>
      </c>
      <c r="F2122" s="3" t="s">
        <v>17</v>
      </c>
      <c r="G2122" s="3" t="s">
        <v>18</v>
      </c>
      <c r="H2122" s="3" t="s">
        <v>19</v>
      </c>
      <c r="I2122" s="3" t="s">
        <v>20</v>
      </c>
      <c r="J2122" s="3" t="s">
        <v>294</v>
      </c>
      <c r="K2122" s="3" t="s">
        <v>1666</v>
      </c>
      <c r="L2122" s="4">
        <v>0.61319444444444449</v>
      </c>
      <c r="M2122" s="3" t="s">
        <v>1207</v>
      </c>
      <c r="N2122" s="3" t="s">
        <v>24</v>
      </c>
      <c r="O2122" s="3" t="s">
        <v>25</v>
      </c>
    </row>
    <row r="2123" spans="1:15">
      <c r="A2123" s="3" t="s">
        <v>15</v>
      </c>
      <c r="B2123" s="3" t="str">
        <f>"FES1162742157"</f>
        <v>FES1162742157</v>
      </c>
      <c r="C2123" s="3" t="s">
        <v>1660</v>
      </c>
      <c r="D2123" s="3">
        <v>1</v>
      </c>
      <c r="E2123" s="3" t="str">
        <f>"2170730073"</f>
        <v>2170730073</v>
      </c>
      <c r="F2123" s="3" t="s">
        <v>17</v>
      </c>
      <c r="G2123" s="3" t="s">
        <v>18</v>
      </c>
      <c r="H2123" s="3" t="s">
        <v>36</v>
      </c>
      <c r="I2123" s="3" t="s">
        <v>37</v>
      </c>
      <c r="J2123" s="3" t="s">
        <v>853</v>
      </c>
      <c r="K2123" s="3" t="s">
        <v>1666</v>
      </c>
      <c r="L2123" s="4">
        <v>0.36319444444444443</v>
      </c>
      <c r="M2123" s="3" t="s">
        <v>1679</v>
      </c>
      <c r="N2123" s="3" t="s">
        <v>24</v>
      </c>
      <c r="O2123" s="3" t="s">
        <v>25</v>
      </c>
    </row>
    <row r="2124" spans="1:15">
      <c r="A2124" s="3" t="s">
        <v>15</v>
      </c>
      <c r="B2124" s="3" t="str">
        <f>"FES1162742149"</f>
        <v>FES1162742149</v>
      </c>
      <c r="C2124" s="3" t="s">
        <v>1660</v>
      </c>
      <c r="D2124" s="3">
        <v>1</v>
      </c>
      <c r="E2124" s="3" t="str">
        <f>"2170728058"</f>
        <v>2170728058</v>
      </c>
      <c r="F2124" s="3" t="s">
        <v>17</v>
      </c>
      <c r="G2124" s="3" t="s">
        <v>18</v>
      </c>
      <c r="H2124" s="3" t="s">
        <v>36</v>
      </c>
      <c r="I2124" s="3" t="s">
        <v>37</v>
      </c>
      <c r="J2124" s="3" t="s">
        <v>187</v>
      </c>
      <c r="K2124" s="3" t="s">
        <v>1666</v>
      </c>
      <c r="L2124" s="4">
        <v>0.33333333333333331</v>
      </c>
      <c r="M2124" s="3" t="s">
        <v>188</v>
      </c>
      <c r="N2124" s="3" t="s">
        <v>24</v>
      </c>
      <c r="O2124" s="3" t="s">
        <v>25</v>
      </c>
    </row>
    <row r="2125" spans="1:15">
      <c r="A2125" s="3" t="s">
        <v>15</v>
      </c>
      <c r="B2125" s="3" t="str">
        <f>"FES1162742117"</f>
        <v>FES1162742117</v>
      </c>
      <c r="C2125" s="3" t="s">
        <v>1660</v>
      </c>
      <c r="D2125" s="3">
        <v>1</v>
      </c>
      <c r="E2125" s="3" t="str">
        <f>"2170733623"</f>
        <v>2170733623</v>
      </c>
      <c r="F2125" s="3" t="s">
        <v>17</v>
      </c>
      <c r="G2125" s="3" t="s">
        <v>18</v>
      </c>
      <c r="H2125" s="3" t="s">
        <v>36</v>
      </c>
      <c r="I2125" s="3" t="s">
        <v>37</v>
      </c>
      <c r="J2125" s="3" t="s">
        <v>260</v>
      </c>
      <c r="K2125" s="3" t="s">
        <v>1666</v>
      </c>
      <c r="L2125" s="4">
        <v>0.3923611111111111</v>
      </c>
      <c r="M2125" s="3" t="s">
        <v>379</v>
      </c>
      <c r="N2125" s="3" t="s">
        <v>24</v>
      </c>
      <c r="O2125" s="3" t="s">
        <v>25</v>
      </c>
    </row>
    <row r="2126" spans="1:15">
      <c r="A2126" s="3" t="s">
        <v>15</v>
      </c>
      <c r="B2126" s="3" t="str">
        <f>"FES1162742145"</f>
        <v>FES1162742145</v>
      </c>
      <c r="C2126" s="3" t="s">
        <v>1660</v>
      </c>
      <c r="D2126" s="3">
        <v>1</v>
      </c>
      <c r="E2126" s="3" t="str">
        <f>"2170733662"</f>
        <v>2170733662</v>
      </c>
      <c r="F2126" s="3" t="s">
        <v>17</v>
      </c>
      <c r="G2126" s="3" t="s">
        <v>18</v>
      </c>
      <c r="H2126" s="3" t="s">
        <v>66</v>
      </c>
      <c r="I2126" s="3" t="s">
        <v>67</v>
      </c>
      <c r="J2126" s="3" t="s">
        <v>1786</v>
      </c>
      <c r="K2126" s="3" t="s">
        <v>1666</v>
      </c>
      <c r="L2126" s="4">
        <v>0.38541666666666669</v>
      </c>
      <c r="M2126" s="3" t="s">
        <v>1787</v>
      </c>
      <c r="N2126" s="3" t="s">
        <v>24</v>
      </c>
      <c r="O2126" s="3" t="s">
        <v>25</v>
      </c>
    </row>
    <row r="2127" spans="1:15">
      <c r="A2127" s="3" t="s">
        <v>15</v>
      </c>
      <c r="B2127" s="3" t="str">
        <f>"FES1162742101"</f>
        <v>FES1162742101</v>
      </c>
      <c r="C2127" s="3" t="s">
        <v>1660</v>
      </c>
      <c r="D2127" s="3">
        <v>1</v>
      </c>
      <c r="E2127" s="3" t="str">
        <f>"217073307"</f>
        <v>217073307</v>
      </c>
      <c r="F2127" s="3" t="s">
        <v>17</v>
      </c>
      <c r="G2127" s="3" t="s">
        <v>18</v>
      </c>
      <c r="H2127" s="3" t="s">
        <v>70</v>
      </c>
      <c r="I2127" s="3" t="s">
        <v>71</v>
      </c>
      <c r="J2127" s="3" t="s">
        <v>392</v>
      </c>
      <c r="K2127" s="3" t="s">
        <v>1666</v>
      </c>
      <c r="L2127" s="4">
        <v>0.46527777777777773</v>
      </c>
      <c r="M2127" s="3" t="s">
        <v>994</v>
      </c>
      <c r="N2127" s="3" t="s">
        <v>24</v>
      </c>
      <c r="O2127" s="3" t="s">
        <v>25</v>
      </c>
    </row>
    <row r="2128" spans="1:15">
      <c r="A2128" s="3" t="s">
        <v>15</v>
      </c>
      <c r="B2128" s="3" t="str">
        <f>"FES1162742082"</f>
        <v>FES1162742082</v>
      </c>
      <c r="C2128" s="3" t="s">
        <v>1660</v>
      </c>
      <c r="D2128" s="3">
        <v>1</v>
      </c>
      <c r="E2128" s="3" t="str">
        <f>"2170733605"</f>
        <v>2170733605</v>
      </c>
      <c r="F2128" s="3" t="s">
        <v>17</v>
      </c>
      <c r="G2128" s="3" t="s">
        <v>18</v>
      </c>
      <c r="H2128" s="3" t="s">
        <v>40</v>
      </c>
      <c r="I2128" s="3" t="s">
        <v>41</v>
      </c>
      <c r="J2128" s="3" t="s">
        <v>1338</v>
      </c>
      <c r="K2128" s="3" t="s">
        <v>1666</v>
      </c>
      <c r="L2128" s="4">
        <v>0.42569444444444443</v>
      </c>
      <c r="M2128" s="3" t="s">
        <v>1339</v>
      </c>
      <c r="N2128" s="3" t="s">
        <v>24</v>
      </c>
      <c r="O2128" s="3" t="s">
        <v>25</v>
      </c>
    </row>
    <row r="2129" spans="1:15">
      <c r="A2129" s="3" t="s">
        <v>15</v>
      </c>
      <c r="B2129" s="3" t="str">
        <f>"FES1162742093"</f>
        <v>FES1162742093</v>
      </c>
      <c r="C2129" s="3" t="s">
        <v>1660</v>
      </c>
      <c r="D2129" s="3">
        <v>1</v>
      </c>
      <c r="E2129" s="3" t="str">
        <f>"2170731004"</f>
        <v>2170731004</v>
      </c>
      <c r="F2129" s="3" t="s">
        <v>17</v>
      </c>
      <c r="G2129" s="3" t="s">
        <v>18</v>
      </c>
      <c r="H2129" s="3" t="s">
        <v>66</v>
      </c>
      <c r="I2129" s="3" t="s">
        <v>67</v>
      </c>
      <c r="J2129" s="3" t="s">
        <v>1055</v>
      </c>
      <c r="K2129" s="3" t="s">
        <v>1666</v>
      </c>
      <c r="L2129" s="4">
        <v>0.3888888888888889</v>
      </c>
      <c r="M2129" s="3" t="s">
        <v>1056</v>
      </c>
      <c r="N2129" s="3" t="s">
        <v>24</v>
      </c>
      <c r="O2129" s="3" t="s">
        <v>25</v>
      </c>
    </row>
    <row r="2130" spans="1:15">
      <c r="A2130" s="3" t="s">
        <v>15</v>
      </c>
      <c r="B2130" s="3" t="str">
        <f>"FES1162742108"</f>
        <v>FES1162742108</v>
      </c>
      <c r="C2130" s="3" t="s">
        <v>1660</v>
      </c>
      <c r="D2130" s="3">
        <v>1</v>
      </c>
      <c r="E2130" s="3" t="str">
        <f>"2170733564"</f>
        <v>2170733564</v>
      </c>
      <c r="F2130" s="3" t="s">
        <v>17</v>
      </c>
      <c r="G2130" s="3" t="s">
        <v>18</v>
      </c>
      <c r="H2130" s="3" t="s">
        <v>70</v>
      </c>
      <c r="I2130" s="3" t="s">
        <v>507</v>
      </c>
      <c r="J2130" s="3" t="s">
        <v>508</v>
      </c>
      <c r="K2130" s="3" t="s">
        <v>1666</v>
      </c>
      <c r="L2130" s="4">
        <v>0.41944444444444445</v>
      </c>
      <c r="M2130" s="3" t="s">
        <v>1788</v>
      </c>
      <c r="N2130" s="3" t="s">
        <v>24</v>
      </c>
      <c r="O2130" s="3" t="s">
        <v>25</v>
      </c>
    </row>
    <row r="2131" spans="1:15">
      <c r="A2131" s="3" t="s">
        <v>15</v>
      </c>
      <c r="B2131" s="3" t="str">
        <f>"FES1162742123"</f>
        <v>FES1162742123</v>
      </c>
      <c r="C2131" s="3" t="s">
        <v>1660</v>
      </c>
      <c r="D2131" s="3">
        <v>1</v>
      </c>
      <c r="E2131" s="3" t="str">
        <f>"2170733620"</f>
        <v>2170733620</v>
      </c>
      <c r="F2131" s="3" t="s">
        <v>17</v>
      </c>
      <c r="G2131" s="3" t="s">
        <v>18</v>
      </c>
      <c r="H2131" s="3" t="s">
        <v>66</v>
      </c>
      <c r="I2131" s="3" t="s">
        <v>67</v>
      </c>
      <c r="J2131" s="3" t="s">
        <v>138</v>
      </c>
      <c r="K2131" s="3" t="s">
        <v>1666</v>
      </c>
      <c r="L2131" s="4">
        <v>0.39583333333333331</v>
      </c>
      <c r="M2131" s="3" t="s">
        <v>268</v>
      </c>
      <c r="N2131" s="3" t="s">
        <v>24</v>
      </c>
      <c r="O2131" s="3" t="s">
        <v>25</v>
      </c>
    </row>
    <row r="2132" spans="1:15">
      <c r="A2132" s="3" t="s">
        <v>15</v>
      </c>
      <c r="B2132" s="3" t="str">
        <f>"FES1162742090"</f>
        <v>FES1162742090</v>
      </c>
      <c r="C2132" s="3" t="s">
        <v>1660</v>
      </c>
      <c r="D2132" s="3">
        <v>1</v>
      </c>
      <c r="E2132" s="3" t="str">
        <f>"2170730794"</f>
        <v>2170730794</v>
      </c>
      <c r="F2132" s="3" t="s">
        <v>17</v>
      </c>
      <c r="G2132" s="3" t="s">
        <v>18</v>
      </c>
      <c r="H2132" s="3" t="s">
        <v>66</v>
      </c>
      <c r="I2132" s="3" t="s">
        <v>158</v>
      </c>
      <c r="J2132" s="3" t="s">
        <v>159</v>
      </c>
      <c r="K2132" s="3" t="s">
        <v>1666</v>
      </c>
      <c r="L2132" s="4">
        <v>0.625</v>
      </c>
      <c r="M2132" s="3" t="s">
        <v>211</v>
      </c>
      <c r="N2132" s="3" t="s">
        <v>24</v>
      </c>
      <c r="O2132" s="3" t="s">
        <v>25</v>
      </c>
    </row>
    <row r="2133" spans="1:15">
      <c r="A2133" s="3" t="s">
        <v>15</v>
      </c>
      <c r="B2133" s="3" t="str">
        <f>"FES1162742159"</f>
        <v>FES1162742159</v>
      </c>
      <c r="C2133" s="3" t="s">
        <v>1660</v>
      </c>
      <c r="D2133" s="3">
        <v>1</v>
      </c>
      <c r="E2133" s="3" t="str">
        <f>"2170730214"</f>
        <v>2170730214</v>
      </c>
      <c r="F2133" s="3" t="s">
        <v>17</v>
      </c>
      <c r="G2133" s="3" t="s">
        <v>18</v>
      </c>
      <c r="H2133" s="3" t="s">
        <v>100</v>
      </c>
      <c r="I2133" s="3" t="s">
        <v>117</v>
      </c>
      <c r="J2133" s="3" t="s">
        <v>1789</v>
      </c>
      <c r="K2133" s="3" t="s">
        <v>1666</v>
      </c>
      <c r="L2133" s="4">
        <v>0.48125000000000001</v>
      </c>
      <c r="M2133" s="3" t="s">
        <v>1790</v>
      </c>
      <c r="N2133" s="3" t="s">
        <v>24</v>
      </c>
      <c r="O2133" s="3" t="s">
        <v>25</v>
      </c>
    </row>
    <row r="2134" spans="1:15">
      <c r="A2134" s="3" t="s">
        <v>15</v>
      </c>
      <c r="B2134" s="3" t="str">
        <f>"FES1162742125"</f>
        <v>FES1162742125</v>
      </c>
      <c r="C2134" s="3" t="s">
        <v>1660</v>
      </c>
      <c r="D2134" s="3">
        <v>1</v>
      </c>
      <c r="E2134" s="3" t="str">
        <f>"2170733633"</f>
        <v>2170733633</v>
      </c>
      <c r="F2134" s="3" t="s">
        <v>17</v>
      </c>
      <c r="G2134" s="3" t="s">
        <v>18</v>
      </c>
      <c r="H2134" s="3" t="s">
        <v>66</v>
      </c>
      <c r="I2134" s="3" t="s">
        <v>67</v>
      </c>
      <c r="J2134" s="3" t="s">
        <v>1017</v>
      </c>
      <c r="K2134" s="3" t="s">
        <v>1666</v>
      </c>
      <c r="L2134" s="4">
        <v>0.40138888888888885</v>
      </c>
      <c r="M2134" s="3" t="s">
        <v>1018</v>
      </c>
      <c r="N2134" s="3" t="s">
        <v>24</v>
      </c>
      <c r="O2134" s="3" t="s">
        <v>25</v>
      </c>
    </row>
    <row r="2135" spans="1:15">
      <c r="A2135" s="5" t="s">
        <v>15</v>
      </c>
      <c r="B2135" s="5" t="str">
        <f>"FES1162737572"</f>
        <v>FES1162737572</v>
      </c>
      <c r="C2135" s="5" t="s">
        <v>1660</v>
      </c>
      <c r="D2135" s="5">
        <v>1</v>
      </c>
      <c r="E2135" s="5" t="str">
        <f>"2170727811"</f>
        <v>2170727811</v>
      </c>
      <c r="F2135" s="5" t="s">
        <v>17</v>
      </c>
      <c r="G2135" s="5" t="s">
        <v>18</v>
      </c>
      <c r="H2135" s="5" t="s">
        <v>948</v>
      </c>
      <c r="I2135" s="5" t="s">
        <v>33</v>
      </c>
      <c r="J2135" s="5" t="s">
        <v>1791</v>
      </c>
      <c r="K2135" s="5" t="s">
        <v>1666</v>
      </c>
      <c r="L2135" s="6">
        <v>0.33333333333333331</v>
      </c>
      <c r="M2135" s="5" t="s">
        <v>1792</v>
      </c>
      <c r="N2135" s="5" t="s">
        <v>24</v>
      </c>
      <c r="O2135" s="5" t="s">
        <v>25</v>
      </c>
    </row>
    <row r="2136" spans="1:15">
      <c r="A2136" s="5" t="s">
        <v>15</v>
      </c>
      <c r="B2136" s="5" t="str">
        <f>"FES1162742077"</f>
        <v>FES1162742077</v>
      </c>
      <c r="C2136" s="5" t="s">
        <v>1660</v>
      </c>
      <c r="D2136" s="5">
        <v>1</v>
      </c>
      <c r="E2136" s="5" t="str">
        <f>"2170733600"</f>
        <v>2170733600</v>
      </c>
      <c r="F2136" s="5" t="s">
        <v>17</v>
      </c>
      <c r="G2136" s="5" t="s">
        <v>18</v>
      </c>
      <c r="H2136" s="5" t="s">
        <v>18</v>
      </c>
      <c r="I2136" s="5" t="s">
        <v>33</v>
      </c>
      <c r="J2136" s="5" t="s">
        <v>34</v>
      </c>
      <c r="K2136" s="5" t="s">
        <v>1666</v>
      </c>
      <c r="L2136" s="6">
        <v>0.37708333333333338</v>
      </c>
      <c r="M2136" s="5" t="s">
        <v>444</v>
      </c>
      <c r="N2136" s="5" t="s">
        <v>24</v>
      </c>
      <c r="O2136" s="5" t="s">
        <v>25</v>
      </c>
    </row>
    <row r="2137" spans="1:15">
      <c r="A2137" s="5" t="s">
        <v>15</v>
      </c>
      <c r="B2137" s="5" t="str">
        <f>"FES1162742098"</f>
        <v>FES1162742098</v>
      </c>
      <c r="C2137" s="5" t="s">
        <v>1660</v>
      </c>
      <c r="D2137" s="5">
        <v>1</v>
      </c>
      <c r="E2137" s="5" t="str">
        <f>"2170732456"</f>
        <v>2170732456</v>
      </c>
      <c r="F2137" s="5" t="s">
        <v>17</v>
      </c>
      <c r="G2137" s="5" t="s">
        <v>18</v>
      </c>
      <c r="H2137" s="5" t="s">
        <v>66</v>
      </c>
      <c r="I2137" s="5" t="s">
        <v>177</v>
      </c>
      <c r="J2137" s="5" t="s">
        <v>597</v>
      </c>
      <c r="K2137" s="5" t="s">
        <v>1666</v>
      </c>
      <c r="L2137" s="6">
        <v>0.37708333333333338</v>
      </c>
      <c r="M2137" s="5" t="s">
        <v>1793</v>
      </c>
      <c r="N2137" s="5" t="s">
        <v>24</v>
      </c>
      <c r="O2137" s="5" t="s">
        <v>601</v>
      </c>
    </row>
    <row r="2138" spans="1:15">
      <c r="A2138" s="5" t="s">
        <v>15</v>
      </c>
      <c r="B2138" s="5" t="str">
        <f>"FES1162742110"</f>
        <v>FES1162742110</v>
      </c>
      <c r="C2138" s="5" t="s">
        <v>1660</v>
      </c>
      <c r="D2138" s="5">
        <v>1</v>
      </c>
      <c r="E2138" s="5" t="str">
        <f>"2170733611"</f>
        <v>2170733611</v>
      </c>
      <c r="F2138" s="5" t="s">
        <v>17</v>
      </c>
      <c r="G2138" s="5" t="s">
        <v>18</v>
      </c>
      <c r="H2138" s="5" t="s">
        <v>66</v>
      </c>
      <c r="I2138" s="5" t="s">
        <v>67</v>
      </c>
      <c r="J2138" s="5" t="s">
        <v>485</v>
      </c>
      <c r="K2138" s="5" t="s">
        <v>1666</v>
      </c>
      <c r="L2138" s="6">
        <v>0.40625</v>
      </c>
      <c r="M2138" s="5" t="s">
        <v>1794</v>
      </c>
      <c r="N2138" s="5" t="s">
        <v>24</v>
      </c>
      <c r="O2138" s="5" t="s">
        <v>25</v>
      </c>
    </row>
    <row r="2139" spans="1:15">
      <c r="A2139" s="5" t="s">
        <v>15</v>
      </c>
      <c r="B2139" s="5" t="str">
        <f>"FES1162742089"</f>
        <v>FES1162742089</v>
      </c>
      <c r="C2139" s="5" t="s">
        <v>1660</v>
      </c>
      <c r="D2139" s="5">
        <v>1</v>
      </c>
      <c r="E2139" s="5" t="str">
        <f>"2170733612"</f>
        <v>2170733612</v>
      </c>
      <c r="F2139" s="5" t="s">
        <v>17</v>
      </c>
      <c r="G2139" s="5" t="s">
        <v>18</v>
      </c>
      <c r="H2139" s="5" t="s">
        <v>100</v>
      </c>
      <c r="I2139" s="5" t="s">
        <v>101</v>
      </c>
      <c r="J2139" s="5" t="s">
        <v>265</v>
      </c>
      <c r="K2139" s="5" t="s">
        <v>1666</v>
      </c>
      <c r="L2139" s="6">
        <v>0.30486111111111108</v>
      </c>
      <c r="M2139" s="5" t="s">
        <v>1770</v>
      </c>
      <c r="N2139" s="5" t="s">
        <v>24</v>
      </c>
      <c r="O2139" s="5" t="s">
        <v>25</v>
      </c>
    </row>
    <row r="2140" spans="1:15">
      <c r="A2140" s="5" t="s">
        <v>15</v>
      </c>
      <c r="B2140" s="5" t="str">
        <f>"FES1162742170"</f>
        <v>FES1162742170</v>
      </c>
      <c r="C2140" s="5" t="s">
        <v>1660</v>
      </c>
      <c r="D2140" s="5">
        <v>1</v>
      </c>
      <c r="E2140" s="5" t="str">
        <f>"2170732216"</f>
        <v>2170732216</v>
      </c>
      <c r="F2140" s="5" t="s">
        <v>17</v>
      </c>
      <c r="G2140" s="5" t="s">
        <v>18</v>
      </c>
      <c r="H2140" s="5" t="s">
        <v>100</v>
      </c>
      <c r="I2140" s="5" t="s">
        <v>101</v>
      </c>
      <c r="J2140" s="5" t="s">
        <v>318</v>
      </c>
      <c r="K2140" s="5" t="s">
        <v>1666</v>
      </c>
      <c r="L2140" s="6">
        <v>0.41666666666666669</v>
      </c>
      <c r="M2140" s="5" t="s">
        <v>1717</v>
      </c>
      <c r="N2140" s="5" t="s">
        <v>24</v>
      </c>
      <c r="O2140" s="5" t="s">
        <v>25</v>
      </c>
    </row>
    <row r="2141" spans="1:15">
      <c r="A2141" s="5" t="s">
        <v>15</v>
      </c>
      <c r="B2141" s="5" t="str">
        <f>"FES1162742084"</f>
        <v>FES1162742084</v>
      </c>
      <c r="C2141" s="5" t="s">
        <v>1660</v>
      </c>
      <c r="D2141" s="5">
        <v>1</v>
      </c>
      <c r="E2141" s="5" t="str">
        <f>"2170733607"</f>
        <v>2170733607</v>
      </c>
      <c r="F2141" s="5" t="s">
        <v>17</v>
      </c>
      <c r="G2141" s="5" t="s">
        <v>18</v>
      </c>
      <c r="H2141" s="5" t="s">
        <v>100</v>
      </c>
      <c r="I2141" s="5" t="s">
        <v>101</v>
      </c>
      <c r="J2141" s="5" t="s">
        <v>131</v>
      </c>
      <c r="K2141" s="5" t="s">
        <v>1666</v>
      </c>
      <c r="L2141" s="6">
        <v>0.3298611111111111</v>
      </c>
      <c r="M2141" s="5" t="s">
        <v>132</v>
      </c>
      <c r="N2141" s="5" t="s">
        <v>24</v>
      </c>
      <c r="O2141" s="5" t="s">
        <v>25</v>
      </c>
    </row>
    <row r="2142" spans="1:15">
      <c r="A2142" s="5" t="s">
        <v>15</v>
      </c>
      <c r="B2142" s="5" t="str">
        <f>"FES1162742182"</f>
        <v>FES1162742182</v>
      </c>
      <c r="C2142" s="5" t="s">
        <v>1660</v>
      </c>
      <c r="D2142" s="5">
        <v>1</v>
      </c>
      <c r="E2142" s="5" t="str">
        <f>"2170732996"</f>
        <v>2170732996</v>
      </c>
      <c r="F2142" s="5" t="s">
        <v>17</v>
      </c>
      <c r="G2142" s="5" t="s">
        <v>18</v>
      </c>
      <c r="H2142" s="5" t="s">
        <v>100</v>
      </c>
      <c r="I2142" s="5" t="s">
        <v>101</v>
      </c>
      <c r="J2142" s="5" t="s">
        <v>327</v>
      </c>
      <c r="K2142" s="5" t="s">
        <v>1666</v>
      </c>
      <c r="L2142" s="6">
        <v>0.41666666666666669</v>
      </c>
      <c r="M2142" s="5" t="s">
        <v>1795</v>
      </c>
      <c r="N2142" s="5" t="s">
        <v>24</v>
      </c>
      <c r="O2142" s="5" t="s">
        <v>25</v>
      </c>
    </row>
    <row r="2143" spans="1:15">
      <c r="A2143" s="5" t="s">
        <v>15</v>
      </c>
      <c r="B2143" s="5" t="str">
        <f>"FES1162742168"</f>
        <v>FES1162742168</v>
      </c>
      <c r="C2143" s="5" t="s">
        <v>1660</v>
      </c>
      <c r="D2143" s="5">
        <v>1</v>
      </c>
      <c r="E2143" s="5" t="str">
        <f>"2170731645"</f>
        <v>2170731645</v>
      </c>
      <c r="F2143" s="5" t="s">
        <v>17</v>
      </c>
      <c r="G2143" s="5" t="s">
        <v>18</v>
      </c>
      <c r="H2143" s="5" t="s">
        <v>100</v>
      </c>
      <c r="I2143" s="5" t="s">
        <v>101</v>
      </c>
      <c r="J2143" s="5" t="s">
        <v>1796</v>
      </c>
      <c r="K2143" s="5" t="s">
        <v>1666</v>
      </c>
      <c r="L2143" s="6">
        <v>0.41666666666666669</v>
      </c>
      <c r="M2143" s="5" t="s">
        <v>1797</v>
      </c>
      <c r="N2143" s="5" t="s">
        <v>24</v>
      </c>
      <c r="O2143" s="5" t="s">
        <v>25</v>
      </c>
    </row>
    <row r="2144" spans="1:15">
      <c r="A2144" s="5" t="s">
        <v>15</v>
      </c>
      <c r="B2144" s="5" t="str">
        <f>"FES1162742085"</f>
        <v>FES1162742085</v>
      </c>
      <c r="C2144" s="5" t="s">
        <v>1660</v>
      </c>
      <c r="D2144" s="5">
        <v>1</v>
      </c>
      <c r="E2144" s="5" t="str">
        <f>"2170733608"</f>
        <v>2170733608</v>
      </c>
      <c r="F2144" s="5" t="s">
        <v>17</v>
      </c>
      <c r="G2144" s="5" t="s">
        <v>18</v>
      </c>
      <c r="H2144" s="5" t="s">
        <v>100</v>
      </c>
      <c r="I2144" s="5" t="s">
        <v>117</v>
      </c>
      <c r="J2144" s="5" t="s">
        <v>118</v>
      </c>
      <c r="K2144" s="5" t="s">
        <v>1666</v>
      </c>
      <c r="L2144" s="6">
        <v>0.48888888888888887</v>
      </c>
      <c r="M2144" s="5" t="s">
        <v>1798</v>
      </c>
      <c r="N2144" s="5" t="s">
        <v>24</v>
      </c>
      <c r="O2144" s="5" t="s">
        <v>25</v>
      </c>
    </row>
    <row r="2145" spans="1:15">
      <c r="A2145" s="5" t="s">
        <v>15</v>
      </c>
      <c r="B2145" s="5" t="str">
        <f>"FES1162742118"</f>
        <v>FES1162742118</v>
      </c>
      <c r="C2145" s="5" t="s">
        <v>1660</v>
      </c>
      <c r="D2145" s="5">
        <v>1</v>
      </c>
      <c r="E2145" s="5" t="str">
        <f>"2170733625"</f>
        <v>2170733625</v>
      </c>
      <c r="F2145" s="5" t="s">
        <v>17</v>
      </c>
      <c r="G2145" s="5" t="s">
        <v>18</v>
      </c>
      <c r="H2145" s="5" t="s">
        <v>100</v>
      </c>
      <c r="I2145" s="5" t="s">
        <v>262</v>
      </c>
      <c r="J2145" s="5" t="s">
        <v>263</v>
      </c>
      <c r="K2145" s="5" t="s">
        <v>1666</v>
      </c>
      <c r="L2145" s="6">
        <v>0.48888888888888887</v>
      </c>
      <c r="M2145" s="5" t="s">
        <v>1799</v>
      </c>
      <c r="N2145" s="5" t="s">
        <v>24</v>
      </c>
      <c r="O2145" s="5" t="s">
        <v>25</v>
      </c>
    </row>
    <row r="2146" spans="1:15">
      <c r="A2146" s="5" t="s">
        <v>15</v>
      </c>
      <c r="B2146" s="5" t="str">
        <f>"FES1162742143"</f>
        <v>FES1162742143</v>
      </c>
      <c r="C2146" s="5" t="s">
        <v>1660</v>
      </c>
      <c r="D2146" s="5">
        <v>1</v>
      </c>
      <c r="E2146" s="5" t="str">
        <f>"2170733660"</f>
        <v>2170733660</v>
      </c>
      <c r="F2146" s="5" t="s">
        <v>17</v>
      </c>
      <c r="G2146" s="5" t="s">
        <v>18</v>
      </c>
      <c r="H2146" s="5" t="s">
        <v>215</v>
      </c>
      <c r="I2146" s="5" t="s">
        <v>1090</v>
      </c>
      <c r="J2146" s="5" t="s">
        <v>1091</v>
      </c>
      <c r="K2146" s="5" t="s">
        <v>1666</v>
      </c>
      <c r="L2146" s="6">
        <v>0.4375</v>
      </c>
      <c r="M2146" s="5" t="s">
        <v>1800</v>
      </c>
      <c r="N2146" s="5" t="s">
        <v>24</v>
      </c>
      <c r="O2146" s="5" t="s">
        <v>25</v>
      </c>
    </row>
    <row r="2147" spans="1:15">
      <c r="A2147" s="5" t="s">
        <v>15</v>
      </c>
      <c r="B2147" s="5" t="str">
        <f>"FES1162742137"</f>
        <v>FES1162742137</v>
      </c>
      <c r="C2147" s="5" t="s">
        <v>1660</v>
      </c>
      <c r="D2147" s="5">
        <v>1</v>
      </c>
      <c r="E2147" s="5" t="str">
        <f>"2170733649"</f>
        <v>2170733649</v>
      </c>
      <c r="F2147" s="5" t="s">
        <v>17</v>
      </c>
      <c r="G2147" s="5" t="s">
        <v>18</v>
      </c>
      <c r="H2147" s="5" t="s">
        <v>18</v>
      </c>
      <c r="I2147" s="5" t="s">
        <v>29</v>
      </c>
      <c r="J2147" s="5" t="s">
        <v>487</v>
      </c>
      <c r="K2147" s="5" t="s">
        <v>1666</v>
      </c>
      <c r="L2147" s="6">
        <v>0.33333333333333331</v>
      </c>
      <c r="M2147" s="5" t="s">
        <v>200</v>
      </c>
      <c r="N2147" s="5" t="s">
        <v>24</v>
      </c>
      <c r="O2147" s="5" t="s">
        <v>25</v>
      </c>
    </row>
    <row r="2148" spans="1:15">
      <c r="A2148" s="5" t="s">
        <v>15</v>
      </c>
      <c r="B2148" s="5" t="str">
        <f>"FES1162742173"</f>
        <v>FES1162742173</v>
      </c>
      <c r="C2148" s="5" t="s">
        <v>1660</v>
      </c>
      <c r="D2148" s="5">
        <v>1</v>
      </c>
      <c r="E2148" s="5" t="str">
        <f>"2170733671"</f>
        <v>2170733671</v>
      </c>
      <c r="F2148" s="5" t="s">
        <v>17</v>
      </c>
      <c r="G2148" s="5" t="s">
        <v>18</v>
      </c>
      <c r="H2148" s="5" t="s">
        <v>1304</v>
      </c>
      <c r="I2148" s="5" t="s">
        <v>117</v>
      </c>
      <c r="J2148" s="5" t="s">
        <v>285</v>
      </c>
      <c r="K2148" s="5" t="s">
        <v>1666</v>
      </c>
      <c r="L2148" s="6">
        <v>0.48333333333333334</v>
      </c>
      <c r="M2148" s="5" t="s">
        <v>286</v>
      </c>
      <c r="N2148" s="5" t="s">
        <v>24</v>
      </c>
      <c r="O2148" s="5" t="s">
        <v>25</v>
      </c>
    </row>
    <row r="2149" spans="1:15">
      <c r="A2149" s="3" t="s">
        <v>15</v>
      </c>
      <c r="B2149" s="3" t="str">
        <f>"FES1162742095"</f>
        <v>FES1162742095</v>
      </c>
      <c r="C2149" s="3" t="s">
        <v>1660</v>
      </c>
      <c r="D2149" s="3">
        <v>1</v>
      </c>
      <c r="E2149" s="3" t="str">
        <f>"2170731384"</f>
        <v>2170731384</v>
      </c>
      <c r="F2149" s="3" t="s">
        <v>17</v>
      </c>
      <c r="G2149" s="3" t="s">
        <v>18</v>
      </c>
      <c r="H2149" s="3" t="s">
        <v>100</v>
      </c>
      <c r="I2149" s="3" t="s">
        <v>101</v>
      </c>
      <c r="J2149" s="3" t="s">
        <v>1217</v>
      </c>
      <c r="K2149" s="3" t="s">
        <v>1666</v>
      </c>
      <c r="L2149" s="4">
        <v>0.36319444444444443</v>
      </c>
      <c r="M2149" s="3" t="s">
        <v>254</v>
      </c>
      <c r="N2149" s="3" t="s">
        <v>24</v>
      </c>
      <c r="O2149" s="3" t="s">
        <v>25</v>
      </c>
    </row>
    <row r="2150" spans="1:15">
      <c r="A2150" s="3" t="s">
        <v>15</v>
      </c>
      <c r="B2150" s="3" t="str">
        <f>"FES1162742150"</f>
        <v>FES1162742150</v>
      </c>
      <c r="C2150" s="3" t="s">
        <v>1660</v>
      </c>
      <c r="D2150" s="3">
        <v>2</v>
      </c>
      <c r="E2150" s="3" t="str">
        <f>"2170730165"</f>
        <v>2170730165</v>
      </c>
      <c r="F2150" s="3" t="s">
        <v>17</v>
      </c>
      <c r="G2150" s="3" t="s">
        <v>18</v>
      </c>
      <c r="H2150" s="3" t="s">
        <v>36</v>
      </c>
      <c r="I2150" s="3" t="s">
        <v>174</v>
      </c>
      <c r="J2150" s="3" t="s">
        <v>349</v>
      </c>
      <c r="K2150" s="3" t="s">
        <v>1666</v>
      </c>
      <c r="L2150" s="4">
        <v>0.33333333333333331</v>
      </c>
      <c r="M2150" s="3" t="s">
        <v>1801</v>
      </c>
      <c r="N2150" s="3" t="s">
        <v>24</v>
      </c>
      <c r="O2150" s="3" t="s">
        <v>25</v>
      </c>
    </row>
    <row r="2151" spans="1:15">
      <c r="A2151" s="3" t="s">
        <v>15</v>
      </c>
      <c r="B2151" s="3" t="str">
        <f>"FES1162742083"</f>
        <v>FES1162742083</v>
      </c>
      <c r="C2151" s="3" t="s">
        <v>1660</v>
      </c>
      <c r="D2151" s="3">
        <v>1</v>
      </c>
      <c r="E2151" s="3" t="str">
        <f>"2170733606"</f>
        <v>2170733606</v>
      </c>
      <c r="F2151" s="3" t="s">
        <v>17</v>
      </c>
      <c r="G2151" s="3" t="s">
        <v>18</v>
      </c>
      <c r="H2151" s="3" t="s">
        <v>36</v>
      </c>
      <c r="I2151" s="3" t="s">
        <v>330</v>
      </c>
      <c r="J2151" s="3" t="s">
        <v>331</v>
      </c>
      <c r="K2151" s="3" t="s">
        <v>1666</v>
      </c>
      <c r="L2151" s="4">
        <v>0.42430555555555555</v>
      </c>
      <c r="M2151" s="3" t="s">
        <v>332</v>
      </c>
      <c r="N2151" s="3" t="s">
        <v>24</v>
      </c>
      <c r="O2151" s="3" t="s">
        <v>25</v>
      </c>
    </row>
    <row r="2152" spans="1:15">
      <c r="A2152" s="3" t="s">
        <v>15</v>
      </c>
      <c r="B2152" s="3" t="str">
        <f>"FES1162742113"</f>
        <v>FES1162742113</v>
      </c>
      <c r="C2152" s="3" t="s">
        <v>1660</v>
      </c>
      <c r="D2152" s="3">
        <v>1</v>
      </c>
      <c r="E2152" s="3" t="str">
        <f>"2170733616"</f>
        <v>2170733616</v>
      </c>
      <c r="F2152" s="3" t="s">
        <v>17</v>
      </c>
      <c r="G2152" s="3" t="s">
        <v>18</v>
      </c>
      <c r="H2152" s="3" t="s">
        <v>36</v>
      </c>
      <c r="I2152" s="3" t="s">
        <v>37</v>
      </c>
      <c r="J2152" s="3" t="s">
        <v>260</v>
      </c>
      <c r="K2152" s="3" t="s">
        <v>1666</v>
      </c>
      <c r="L2152" s="4">
        <v>0.39305555555555555</v>
      </c>
      <c r="M2152" s="3" t="s">
        <v>379</v>
      </c>
      <c r="N2152" s="3" t="s">
        <v>24</v>
      </c>
      <c r="O2152" s="3" t="s">
        <v>25</v>
      </c>
    </row>
    <row r="2153" spans="1:15">
      <c r="A2153" s="3" t="s">
        <v>15</v>
      </c>
      <c r="B2153" s="3" t="str">
        <f>"009935712244"</f>
        <v>009935712244</v>
      </c>
      <c r="C2153" s="3" t="s">
        <v>1660</v>
      </c>
      <c r="D2153" s="3">
        <v>1</v>
      </c>
      <c r="E2153" s="3" t="str">
        <f>"1162734788"</f>
        <v>1162734788</v>
      </c>
      <c r="F2153" s="3" t="s">
        <v>17</v>
      </c>
      <c r="G2153" s="3" t="s">
        <v>18</v>
      </c>
      <c r="H2153" s="3" t="s">
        <v>36</v>
      </c>
      <c r="I2153" s="3" t="s">
        <v>1802</v>
      </c>
      <c r="J2153" s="3" t="s">
        <v>1803</v>
      </c>
      <c r="K2153" s="3" t="s">
        <v>1666</v>
      </c>
      <c r="L2153" s="3" t="s">
        <v>1804</v>
      </c>
      <c r="M2153" s="3" t="s">
        <v>1805</v>
      </c>
      <c r="N2153" s="3" t="s">
        <v>24</v>
      </c>
      <c r="O2153" s="3" t="s">
        <v>1806</v>
      </c>
    </row>
    <row r="2154" spans="1:15">
      <c r="A2154" s="3" t="s">
        <v>15</v>
      </c>
      <c r="B2154" s="3" t="str">
        <f>"FES1162742079"</f>
        <v>FES1162742079</v>
      </c>
      <c r="C2154" s="3" t="s">
        <v>1660</v>
      </c>
      <c r="D2154" s="3">
        <v>1</v>
      </c>
      <c r="E2154" s="3" t="str">
        <f>"2170733603"</f>
        <v>2170733603</v>
      </c>
      <c r="F2154" s="3" t="s">
        <v>17</v>
      </c>
      <c r="G2154" s="3" t="s">
        <v>18</v>
      </c>
      <c r="H2154" s="3" t="s">
        <v>18</v>
      </c>
      <c r="I2154" s="3" t="s">
        <v>33</v>
      </c>
      <c r="J2154" s="3" t="s">
        <v>34</v>
      </c>
      <c r="K2154" s="3" t="s">
        <v>1666</v>
      </c>
      <c r="L2154" s="4">
        <v>0.37847222222222227</v>
      </c>
      <c r="M2154" s="3" t="s">
        <v>1672</v>
      </c>
      <c r="N2154" s="3" t="s">
        <v>24</v>
      </c>
      <c r="O2154" s="3" t="s">
        <v>25</v>
      </c>
    </row>
    <row r="2155" spans="1:15">
      <c r="A2155" s="3" t="s">
        <v>15</v>
      </c>
      <c r="B2155" s="3" t="str">
        <f>"FES1162742102"</f>
        <v>FES1162742102</v>
      </c>
      <c r="C2155" s="3" t="s">
        <v>1660</v>
      </c>
      <c r="D2155" s="3">
        <v>1</v>
      </c>
      <c r="E2155" s="3" t="str">
        <f>"2170733320"</f>
        <v>2170733320</v>
      </c>
      <c r="F2155" s="3" t="s">
        <v>17</v>
      </c>
      <c r="G2155" s="3" t="s">
        <v>18</v>
      </c>
      <c r="H2155" s="3" t="s">
        <v>18</v>
      </c>
      <c r="I2155" s="3" t="s">
        <v>29</v>
      </c>
      <c r="J2155" s="3" t="s">
        <v>1807</v>
      </c>
      <c r="K2155" s="3" t="s">
        <v>1666</v>
      </c>
      <c r="L2155" s="4">
        <v>0.34236111111111112</v>
      </c>
      <c r="M2155" s="3" t="s">
        <v>1808</v>
      </c>
      <c r="N2155" s="3" t="s">
        <v>24</v>
      </c>
      <c r="O2155" s="3" t="s">
        <v>25</v>
      </c>
    </row>
    <row r="2156" spans="1:15">
      <c r="A2156" s="3" t="s">
        <v>15</v>
      </c>
      <c r="B2156" s="3" t="str">
        <f>"FES1162742106"</f>
        <v>FES1162742106</v>
      </c>
      <c r="C2156" s="3" t="s">
        <v>1660</v>
      </c>
      <c r="D2156" s="3">
        <v>1</v>
      </c>
      <c r="E2156" s="3" t="str">
        <f>"2170733390"</f>
        <v>2170733390</v>
      </c>
      <c r="F2156" s="3" t="s">
        <v>17</v>
      </c>
      <c r="G2156" s="3" t="s">
        <v>18</v>
      </c>
      <c r="H2156" s="3" t="s">
        <v>18</v>
      </c>
      <c r="I2156" s="3" t="s">
        <v>29</v>
      </c>
      <c r="J2156" s="3" t="s">
        <v>1809</v>
      </c>
      <c r="K2156" s="3" t="s">
        <v>1666</v>
      </c>
      <c r="L2156" s="4">
        <v>0.30902777777777779</v>
      </c>
      <c r="M2156" s="3" t="s">
        <v>286</v>
      </c>
      <c r="N2156" s="3" t="s">
        <v>24</v>
      </c>
      <c r="O2156" s="3" t="s">
        <v>25</v>
      </c>
    </row>
    <row r="2157" spans="1:15">
      <c r="A2157" s="3" t="s">
        <v>15</v>
      </c>
      <c r="B2157" s="3" t="str">
        <f>"FES1162742163"</f>
        <v>FES1162742163</v>
      </c>
      <c r="C2157" s="3" t="s">
        <v>1660</v>
      </c>
      <c r="D2157" s="3">
        <v>1</v>
      </c>
      <c r="E2157" s="3" t="str">
        <f>"2170730989"</f>
        <v>2170730989</v>
      </c>
      <c r="F2157" s="3" t="s">
        <v>17</v>
      </c>
      <c r="G2157" s="3" t="s">
        <v>18</v>
      </c>
      <c r="H2157" s="3" t="s">
        <v>18</v>
      </c>
      <c r="I2157" s="3" t="s">
        <v>338</v>
      </c>
      <c r="J2157" s="3" t="s">
        <v>724</v>
      </c>
      <c r="K2157" s="3" t="s">
        <v>1666</v>
      </c>
      <c r="L2157" s="4">
        <v>0.35416666666666669</v>
      </c>
      <c r="M2157" s="3" t="s">
        <v>725</v>
      </c>
      <c r="N2157" s="3" t="s">
        <v>24</v>
      </c>
      <c r="O2157" s="3" t="s">
        <v>25</v>
      </c>
    </row>
    <row r="2158" spans="1:15">
      <c r="A2158" s="3" t="s">
        <v>15</v>
      </c>
      <c r="B2158" s="3" t="str">
        <f>"FES1162742091"</f>
        <v>FES1162742091</v>
      </c>
      <c r="C2158" s="3" t="s">
        <v>1660</v>
      </c>
      <c r="D2158" s="3">
        <v>1</v>
      </c>
      <c r="E2158" s="3" t="str">
        <f>"2170730822"</f>
        <v>2170730822</v>
      </c>
      <c r="F2158" s="3" t="s">
        <v>17</v>
      </c>
      <c r="G2158" s="3" t="s">
        <v>18</v>
      </c>
      <c r="H2158" s="3" t="s">
        <v>18</v>
      </c>
      <c r="I2158" s="3" t="s">
        <v>151</v>
      </c>
      <c r="J2158" s="3" t="s">
        <v>556</v>
      </c>
      <c r="K2158" s="3" t="s">
        <v>1666</v>
      </c>
      <c r="L2158" s="4">
        <v>0.33333333333333331</v>
      </c>
      <c r="M2158" s="3" t="s">
        <v>200</v>
      </c>
      <c r="N2158" s="3" t="s">
        <v>24</v>
      </c>
      <c r="O2158" s="3" t="s">
        <v>25</v>
      </c>
    </row>
    <row r="2159" spans="1:15">
      <c r="A2159" s="3" t="s">
        <v>15</v>
      </c>
      <c r="B2159" s="3" t="str">
        <f>"FES1162742130"</f>
        <v>FES1162742130</v>
      </c>
      <c r="C2159" s="3" t="s">
        <v>1660</v>
      </c>
      <c r="D2159" s="3">
        <v>1</v>
      </c>
      <c r="E2159" s="3" t="str">
        <f>"2170733643"</f>
        <v>2170733643</v>
      </c>
      <c r="F2159" s="3" t="s">
        <v>17</v>
      </c>
      <c r="G2159" s="3" t="s">
        <v>18</v>
      </c>
      <c r="H2159" s="3" t="s">
        <v>18</v>
      </c>
      <c r="I2159" s="3" t="s">
        <v>171</v>
      </c>
      <c r="J2159" s="3" t="s">
        <v>369</v>
      </c>
      <c r="K2159" s="3" t="s">
        <v>1666</v>
      </c>
      <c r="L2159" s="4">
        <v>0.38194444444444442</v>
      </c>
      <c r="M2159" s="3" t="s">
        <v>370</v>
      </c>
      <c r="N2159" s="3" t="s">
        <v>24</v>
      </c>
      <c r="O2159" s="3" t="s">
        <v>25</v>
      </c>
    </row>
    <row r="2160" spans="1:15">
      <c r="A2160" s="3" t="s">
        <v>15</v>
      </c>
      <c r="B2160" s="3" t="str">
        <f>"FES1162742115"</f>
        <v>FES1162742115</v>
      </c>
      <c r="C2160" s="3" t="s">
        <v>1660</v>
      </c>
      <c r="D2160" s="3">
        <v>1</v>
      </c>
      <c r="E2160" s="3" t="str">
        <f>"2170733619"</f>
        <v>2170733619</v>
      </c>
      <c r="F2160" s="3" t="s">
        <v>17</v>
      </c>
      <c r="G2160" s="3" t="s">
        <v>18</v>
      </c>
      <c r="H2160" s="3" t="s">
        <v>18</v>
      </c>
      <c r="I2160" s="3" t="s">
        <v>180</v>
      </c>
      <c r="J2160" s="3" t="s">
        <v>181</v>
      </c>
      <c r="K2160" s="3" t="s">
        <v>1666</v>
      </c>
      <c r="L2160" s="4">
        <v>0.33333333333333331</v>
      </c>
      <c r="M2160" s="3" t="s">
        <v>1810</v>
      </c>
      <c r="N2160" s="3" t="s">
        <v>24</v>
      </c>
      <c r="O2160" s="3" t="s">
        <v>25</v>
      </c>
    </row>
    <row r="2161" spans="1:15">
      <c r="A2161" s="3" t="s">
        <v>15</v>
      </c>
      <c r="B2161" s="3" t="str">
        <f>"FES1162742197"</f>
        <v>FES1162742197</v>
      </c>
      <c r="C2161" s="3" t="s">
        <v>1660</v>
      </c>
      <c r="D2161" s="3">
        <v>1</v>
      </c>
      <c r="E2161" s="3" t="str">
        <f>"2170733697"</f>
        <v>2170733697</v>
      </c>
      <c r="F2161" s="3" t="s">
        <v>17</v>
      </c>
      <c r="G2161" s="3" t="s">
        <v>18</v>
      </c>
      <c r="H2161" s="3" t="s">
        <v>100</v>
      </c>
      <c r="I2161" s="3" t="s">
        <v>101</v>
      </c>
      <c r="J2161" s="3" t="s">
        <v>1612</v>
      </c>
      <c r="K2161" s="3" t="s">
        <v>1666</v>
      </c>
      <c r="L2161" s="4">
        <v>0.39583333333333331</v>
      </c>
      <c r="M2161" s="3" t="s">
        <v>1324</v>
      </c>
      <c r="N2161" s="3" t="s">
        <v>24</v>
      </c>
      <c r="O2161" s="3" t="s">
        <v>25</v>
      </c>
    </row>
    <row r="2162" spans="1:15">
      <c r="A2162" s="3" t="s">
        <v>15</v>
      </c>
      <c r="B2162" s="3" t="str">
        <f>"FES1162742081"</f>
        <v>FES1162742081</v>
      </c>
      <c r="C2162" s="3" t="s">
        <v>1660</v>
      </c>
      <c r="D2162" s="3">
        <v>1</v>
      </c>
      <c r="E2162" s="3" t="str">
        <f>"2170733602"</f>
        <v>2170733602</v>
      </c>
      <c r="F2162" s="3" t="s">
        <v>17</v>
      </c>
      <c r="G2162" s="3" t="s">
        <v>18</v>
      </c>
      <c r="H2162" s="3" t="s">
        <v>18</v>
      </c>
      <c r="I2162" s="3" t="s">
        <v>180</v>
      </c>
      <c r="J2162" s="3" t="s">
        <v>405</v>
      </c>
      <c r="K2162" s="3" t="s">
        <v>1666</v>
      </c>
      <c r="L2162" s="4">
        <v>0.37916666666666665</v>
      </c>
      <c r="M2162" s="3" t="s">
        <v>1811</v>
      </c>
      <c r="N2162" s="3" t="s">
        <v>24</v>
      </c>
      <c r="O2162" s="3" t="s">
        <v>25</v>
      </c>
    </row>
    <row r="2163" spans="1:15">
      <c r="A2163" s="3" t="s">
        <v>15</v>
      </c>
      <c r="B2163" s="3" t="str">
        <f>"FES1162732352"</f>
        <v>FES1162732352</v>
      </c>
      <c r="C2163" s="3" t="s">
        <v>1660</v>
      </c>
      <c r="D2163" s="3">
        <v>1</v>
      </c>
      <c r="E2163" s="3" t="str">
        <f>"2170723141"</f>
        <v>2170723141</v>
      </c>
      <c r="F2163" s="3" t="s">
        <v>17</v>
      </c>
      <c r="G2163" s="3" t="s">
        <v>18</v>
      </c>
      <c r="H2163" s="3" t="s">
        <v>40</v>
      </c>
      <c r="I2163" s="3" t="s">
        <v>431</v>
      </c>
      <c r="J2163" s="3" t="s">
        <v>1812</v>
      </c>
      <c r="K2163" s="3" t="s">
        <v>1666</v>
      </c>
      <c r="L2163" s="4">
        <v>0.39097222222222222</v>
      </c>
      <c r="M2163" s="3" t="s">
        <v>1813</v>
      </c>
      <c r="N2163" s="3" t="s">
        <v>24</v>
      </c>
      <c r="O2163" s="3" t="s">
        <v>25</v>
      </c>
    </row>
    <row r="2164" spans="1:15">
      <c r="A2164" s="3" t="s">
        <v>15</v>
      </c>
      <c r="B2164" s="3" t="str">
        <f>"FES1162742179"</f>
        <v>FES1162742179</v>
      </c>
      <c r="C2164" s="3" t="s">
        <v>1660</v>
      </c>
      <c r="D2164" s="3">
        <v>1</v>
      </c>
      <c r="E2164" s="3" t="str">
        <f>"2170733672"</f>
        <v>2170733672</v>
      </c>
      <c r="F2164" s="3" t="s">
        <v>17</v>
      </c>
      <c r="G2164" s="3" t="s">
        <v>18</v>
      </c>
      <c r="H2164" s="3" t="s">
        <v>18</v>
      </c>
      <c r="I2164" s="3" t="s">
        <v>291</v>
      </c>
      <c r="J2164" s="3" t="s">
        <v>1814</v>
      </c>
      <c r="K2164" s="3" t="s">
        <v>1666</v>
      </c>
      <c r="L2164" s="4">
        <v>0.33333333333333331</v>
      </c>
      <c r="M2164" s="3" t="s">
        <v>470</v>
      </c>
      <c r="N2164" s="3" t="s">
        <v>24</v>
      </c>
      <c r="O2164" s="3" t="s">
        <v>25</v>
      </c>
    </row>
    <row r="2165" spans="1:15">
      <c r="A2165" s="3" t="s">
        <v>15</v>
      </c>
      <c r="B2165" s="3" t="str">
        <f>"FES1162742124"</f>
        <v>FES1162742124</v>
      </c>
      <c r="C2165" s="3" t="s">
        <v>1660</v>
      </c>
      <c r="D2165" s="3">
        <v>1</v>
      </c>
      <c r="E2165" s="3" t="str">
        <f>"2170733631"</f>
        <v>2170733631</v>
      </c>
      <c r="F2165" s="3" t="s">
        <v>17</v>
      </c>
      <c r="G2165" s="3" t="s">
        <v>18</v>
      </c>
      <c r="H2165" s="3" t="s">
        <v>18</v>
      </c>
      <c r="I2165" s="3" t="s">
        <v>309</v>
      </c>
      <c r="J2165" s="3" t="s">
        <v>278</v>
      </c>
      <c r="K2165" s="3" t="s">
        <v>1666</v>
      </c>
      <c r="L2165" s="4">
        <v>0.34375</v>
      </c>
      <c r="M2165" s="3" t="s">
        <v>1815</v>
      </c>
      <c r="N2165" s="3" t="s">
        <v>24</v>
      </c>
      <c r="O2165" s="3" t="s">
        <v>25</v>
      </c>
    </row>
    <row r="2166" spans="1:15">
      <c r="A2166" s="3" t="s">
        <v>15</v>
      </c>
      <c r="B2166" s="3" t="str">
        <f>"FES1162742176"</f>
        <v>FES1162742176</v>
      </c>
      <c r="C2166" s="3" t="s">
        <v>1660</v>
      </c>
      <c r="D2166" s="3">
        <v>2</v>
      </c>
      <c r="E2166" s="3" t="str">
        <f>"2170728058"</f>
        <v>2170728058</v>
      </c>
      <c r="F2166" s="3" t="s">
        <v>17</v>
      </c>
      <c r="G2166" s="3" t="s">
        <v>18</v>
      </c>
      <c r="H2166" s="3" t="s">
        <v>36</v>
      </c>
      <c r="I2166" s="3" t="s">
        <v>37</v>
      </c>
      <c r="J2166" s="3" t="s">
        <v>187</v>
      </c>
      <c r="K2166" s="3" t="s">
        <v>1666</v>
      </c>
      <c r="L2166" s="4">
        <v>0.33333333333333331</v>
      </c>
      <c r="M2166" s="3" t="s">
        <v>191</v>
      </c>
      <c r="N2166" s="3" t="s">
        <v>24</v>
      </c>
      <c r="O2166" s="3" t="s">
        <v>25</v>
      </c>
    </row>
    <row r="2167" spans="1:15">
      <c r="A2167" s="3" t="s">
        <v>15</v>
      </c>
      <c r="B2167" s="3" t="str">
        <f>"FES1162742155"</f>
        <v>FES1162742155</v>
      </c>
      <c r="C2167" s="3" t="s">
        <v>1660</v>
      </c>
      <c r="D2167" s="3">
        <v>1</v>
      </c>
      <c r="E2167" s="3" t="str">
        <f>"2170729092"</f>
        <v>2170729092</v>
      </c>
      <c r="F2167" s="3" t="s">
        <v>17</v>
      </c>
      <c r="G2167" s="3" t="s">
        <v>18</v>
      </c>
      <c r="H2167" s="3" t="s">
        <v>36</v>
      </c>
      <c r="I2167" s="3" t="s">
        <v>174</v>
      </c>
      <c r="J2167" s="3" t="s">
        <v>175</v>
      </c>
      <c r="K2167" s="3" t="s">
        <v>1666</v>
      </c>
      <c r="L2167" s="4">
        <v>0.33333333333333331</v>
      </c>
      <c r="M2167" s="3" t="s">
        <v>1222</v>
      </c>
      <c r="N2167" s="3" t="s">
        <v>24</v>
      </c>
      <c r="O2167" s="3" t="s">
        <v>25</v>
      </c>
    </row>
    <row r="2168" spans="1:15">
      <c r="A2168" s="3" t="s">
        <v>15</v>
      </c>
      <c r="B2168" s="3" t="str">
        <f>"FES1162742195"</f>
        <v>FES1162742195</v>
      </c>
      <c r="C2168" s="3" t="s">
        <v>1660</v>
      </c>
      <c r="D2168" s="3">
        <v>1</v>
      </c>
      <c r="E2168" s="3" t="str">
        <f>"21707336393"</f>
        <v>21707336393</v>
      </c>
      <c r="F2168" s="3" t="s">
        <v>17</v>
      </c>
      <c r="G2168" s="3" t="s">
        <v>18</v>
      </c>
      <c r="H2168" s="3" t="s">
        <v>100</v>
      </c>
      <c r="I2168" s="3" t="s">
        <v>101</v>
      </c>
      <c r="J2168" s="3" t="s">
        <v>131</v>
      </c>
      <c r="K2168" s="3" t="s">
        <v>1666</v>
      </c>
      <c r="L2168" s="4">
        <v>0.3298611111111111</v>
      </c>
      <c r="M2168" s="3" t="s">
        <v>132</v>
      </c>
      <c r="N2168" s="3" t="s">
        <v>24</v>
      </c>
      <c r="O2168" s="3" t="s">
        <v>25</v>
      </c>
    </row>
    <row r="2169" spans="1:15">
      <c r="A2169" s="3" t="s">
        <v>15</v>
      </c>
      <c r="B2169" s="3" t="str">
        <f>"FES1162742202"</f>
        <v>FES1162742202</v>
      </c>
      <c r="C2169" s="3" t="s">
        <v>1660</v>
      </c>
      <c r="D2169" s="3">
        <v>1</v>
      </c>
      <c r="E2169" s="3" t="str">
        <f>"2170733702"</f>
        <v>2170733702</v>
      </c>
      <c r="F2169" s="3" t="s">
        <v>17</v>
      </c>
      <c r="G2169" s="3" t="s">
        <v>18</v>
      </c>
      <c r="H2169" s="3" t="s">
        <v>66</v>
      </c>
      <c r="I2169" s="3" t="s">
        <v>67</v>
      </c>
      <c r="J2169" s="3" t="s">
        <v>1515</v>
      </c>
      <c r="K2169" s="3" t="s">
        <v>1666</v>
      </c>
      <c r="L2169" s="4">
        <v>0.3923611111111111</v>
      </c>
      <c r="M2169" s="3" t="s">
        <v>1477</v>
      </c>
      <c r="N2169" s="3" t="s">
        <v>24</v>
      </c>
      <c r="O2169" s="3" t="s">
        <v>25</v>
      </c>
    </row>
    <row r="2170" spans="1:15">
      <c r="A2170" s="3" t="s">
        <v>15</v>
      </c>
      <c r="B2170" s="3" t="str">
        <f>"FES1162742122"</f>
        <v>FES1162742122</v>
      </c>
      <c r="C2170" s="3" t="s">
        <v>1660</v>
      </c>
      <c r="D2170" s="3">
        <v>1</v>
      </c>
      <c r="E2170" s="3" t="str">
        <f>"217073380"</f>
        <v>217073380</v>
      </c>
      <c r="F2170" s="3" t="s">
        <v>17</v>
      </c>
      <c r="G2170" s="3" t="s">
        <v>18</v>
      </c>
      <c r="H2170" s="3" t="s">
        <v>18</v>
      </c>
      <c r="I2170" s="3" t="s">
        <v>341</v>
      </c>
      <c r="J2170" s="3" t="s">
        <v>923</v>
      </c>
      <c r="K2170" s="3" t="s">
        <v>1666</v>
      </c>
      <c r="L2170" s="4">
        <v>0.33333333333333331</v>
      </c>
      <c r="M2170" s="3" t="s">
        <v>1816</v>
      </c>
      <c r="N2170" s="3" t="s">
        <v>24</v>
      </c>
      <c r="O2170" s="3" t="s">
        <v>25</v>
      </c>
    </row>
    <row r="2171" spans="1:15">
      <c r="A2171" s="3" t="s">
        <v>15</v>
      </c>
      <c r="B2171" s="3" t="str">
        <f>"FES1162742201"</f>
        <v>FES1162742201</v>
      </c>
      <c r="C2171" s="3" t="s">
        <v>1660</v>
      </c>
      <c r="D2171" s="3">
        <v>1</v>
      </c>
      <c r="E2171" s="3" t="str">
        <f>"2170733701"</f>
        <v>2170733701</v>
      </c>
      <c r="F2171" s="3" t="s">
        <v>17</v>
      </c>
      <c r="G2171" s="3" t="s">
        <v>18</v>
      </c>
      <c r="H2171" s="3" t="s">
        <v>36</v>
      </c>
      <c r="I2171" s="3" t="s">
        <v>37</v>
      </c>
      <c r="J2171" s="3" t="s">
        <v>902</v>
      </c>
      <c r="K2171" s="3" t="s">
        <v>1666</v>
      </c>
      <c r="L2171" s="4">
        <v>0.41666666666666669</v>
      </c>
      <c r="M2171" s="3" t="s">
        <v>1817</v>
      </c>
      <c r="N2171" s="3" t="s">
        <v>24</v>
      </c>
      <c r="O2171" s="3" t="s">
        <v>25</v>
      </c>
    </row>
    <row r="2172" spans="1:15">
      <c r="A2172" s="3" t="s">
        <v>15</v>
      </c>
      <c r="B2172" s="3" t="str">
        <f>"FES1162742116"</f>
        <v>FES1162742116</v>
      </c>
      <c r="C2172" s="3" t="s">
        <v>1660</v>
      </c>
      <c r="D2172" s="3">
        <v>1</v>
      </c>
      <c r="E2172" s="3" t="str">
        <f>"2170733621"</f>
        <v>2170733621</v>
      </c>
      <c r="F2172" s="3" t="s">
        <v>17</v>
      </c>
      <c r="G2172" s="3" t="s">
        <v>18</v>
      </c>
      <c r="H2172" s="3" t="s">
        <v>18</v>
      </c>
      <c r="I2172" s="3" t="s">
        <v>151</v>
      </c>
      <c r="J2172" s="3" t="s">
        <v>1818</v>
      </c>
      <c r="K2172" s="3" t="s">
        <v>1666</v>
      </c>
      <c r="L2172" s="4">
        <v>0.38055555555555554</v>
      </c>
      <c r="M2172" s="3" t="s">
        <v>112</v>
      </c>
      <c r="N2172" s="3" t="s">
        <v>24</v>
      </c>
      <c r="O2172" s="3" t="s">
        <v>25</v>
      </c>
    </row>
    <row r="2173" spans="1:15">
      <c r="A2173" s="3" t="s">
        <v>15</v>
      </c>
      <c r="B2173" s="3" t="str">
        <f>"FES1162742105"</f>
        <v>FES1162742105</v>
      </c>
      <c r="C2173" s="3" t="s">
        <v>1660</v>
      </c>
      <c r="D2173" s="3">
        <v>1</v>
      </c>
      <c r="E2173" s="3" t="str">
        <f>"217073367"</f>
        <v>217073367</v>
      </c>
      <c r="F2173" s="3" t="s">
        <v>17</v>
      </c>
      <c r="G2173" s="3" t="s">
        <v>18</v>
      </c>
      <c r="H2173" s="3" t="s">
        <v>18</v>
      </c>
      <c r="I2173" s="3" t="s">
        <v>33</v>
      </c>
      <c r="J2173" s="3" t="s">
        <v>93</v>
      </c>
      <c r="K2173" s="3" t="s">
        <v>1666</v>
      </c>
      <c r="L2173" s="4">
        <v>0.4375</v>
      </c>
      <c r="M2173" s="3" t="s">
        <v>1819</v>
      </c>
      <c r="N2173" s="3" t="s">
        <v>24</v>
      </c>
      <c r="O2173" s="3" t="s">
        <v>25</v>
      </c>
    </row>
    <row r="2174" spans="1:15">
      <c r="A2174" s="3" t="s">
        <v>15</v>
      </c>
      <c r="B2174" s="3" t="str">
        <f>"FES1162742103"</f>
        <v>FES1162742103</v>
      </c>
      <c r="C2174" s="3" t="s">
        <v>1660</v>
      </c>
      <c r="D2174" s="3">
        <v>1</v>
      </c>
      <c r="E2174" s="3" t="str">
        <f>"2170733341"</f>
        <v>2170733341</v>
      </c>
      <c r="F2174" s="3" t="s">
        <v>17</v>
      </c>
      <c r="G2174" s="3" t="s">
        <v>18</v>
      </c>
      <c r="H2174" s="3" t="s">
        <v>18</v>
      </c>
      <c r="I2174" s="3" t="s">
        <v>171</v>
      </c>
      <c r="J2174" s="3" t="s">
        <v>204</v>
      </c>
      <c r="K2174" s="3" t="s">
        <v>1666</v>
      </c>
      <c r="L2174" s="4">
        <v>0.33333333333333331</v>
      </c>
      <c r="M2174" s="3" t="s">
        <v>205</v>
      </c>
      <c r="N2174" s="3" t="s">
        <v>24</v>
      </c>
      <c r="O2174" s="3" t="s">
        <v>25</v>
      </c>
    </row>
    <row r="2175" spans="1:15">
      <c r="A2175" s="3" t="s">
        <v>15</v>
      </c>
      <c r="B2175" s="3" t="str">
        <f>"FES1162742229"</f>
        <v>FES1162742229</v>
      </c>
      <c r="C2175" s="3" t="s">
        <v>1660</v>
      </c>
      <c r="D2175" s="3">
        <v>1</v>
      </c>
      <c r="E2175" s="3" t="str">
        <f>"2170733737"</f>
        <v>2170733737</v>
      </c>
      <c r="F2175" s="3" t="s">
        <v>17</v>
      </c>
      <c r="G2175" s="3" t="s">
        <v>18</v>
      </c>
      <c r="H2175" s="3" t="s">
        <v>36</v>
      </c>
      <c r="I2175" s="3" t="s">
        <v>37</v>
      </c>
      <c r="J2175" s="3" t="s">
        <v>505</v>
      </c>
      <c r="K2175" s="3" t="s">
        <v>1666</v>
      </c>
      <c r="L2175" s="4">
        <v>0.3659722222222222</v>
      </c>
      <c r="M2175" s="3" t="s">
        <v>878</v>
      </c>
      <c r="N2175" s="3" t="s">
        <v>24</v>
      </c>
      <c r="O2175" s="3" t="s">
        <v>25</v>
      </c>
    </row>
    <row r="2176" spans="1:15">
      <c r="A2176" s="3" t="s">
        <v>15</v>
      </c>
      <c r="B2176" s="3" t="str">
        <f>"FES1162742114"</f>
        <v>FES1162742114</v>
      </c>
      <c r="C2176" s="3" t="s">
        <v>1660</v>
      </c>
      <c r="D2176" s="3">
        <v>1</v>
      </c>
      <c r="E2176" s="3" t="str">
        <f>"2170733618"</f>
        <v>2170733618</v>
      </c>
      <c r="F2176" s="3" t="s">
        <v>17</v>
      </c>
      <c r="G2176" s="3" t="s">
        <v>18</v>
      </c>
      <c r="H2176" s="3" t="s">
        <v>19</v>
      </c>
      <c r="I2176" s="3" t="s">
        <v>51</v>
      </c>
      <c r="J2176" s="3" t="s">
        <v>89</v>
      </c>
      <c r="K2176" s="3" t="s">
        <v>1666</v>
      </c>
      <c r="L2176" s="4">
        <v>0.34722222222222227</v>
      </c>
      <c r="M2176" s="3" t="s">
        <v>419</v>
      </c>
      <c r="N2176" s="3" t="s">
        <v>24</v>
      </c>
      <c r="O2176" s="3" t="s">
        <v>25</v>
      </c>
    </row>
    <row r="2177" spans="1:15">
      <c r="A2177" s="3" t="s">
        <v>15</v>
      </c>
      <c r="B2177" s="3" t="str">
        <f>"FES1162742121"</f>
        <v>FES1162742121</v>
      </c>
      <c r="C2177" s="3" t="s">
        <v>1660</v>
      </c>
      <c r="D2177" s="3">
        <v>1</v>
      </c>
      <c r="E2177" s="3" t="str">
        <f>"2170733628"</f>
        <v>2170733628</v>
      </c>
      <c r="F2177" s="3" t="s">
        <v>17</v>
      </c>
      <c r="G2177" s="3" t="s">
        <v>18</v>
      </c>
      <c r="H2177" s="3" t="s">
        <v>19</v>
      </c>
      <c r="I2177" s="3" t="s">
        <v>20</v>
      </c>
      <c r="J2177" s="3" t="s">
        <v>358</v>
      </c>
      <c r="K2177" s="3" t="s">
        <v>1666</v>
      </c>
      <c r="L2177" s="4">
        <v>0.38819444444444445</v>
      </c>
      <c r="M2177" s="3" t="s">
        <v>1820</v>
      </c>
      <c r="N2177" s="3" t="s">
        <v>24</v>
      </c>
      <c r="O2177" s="3" t="s">
        <v>25</v>
      </c>
    </row>
    <row r="2178" spans="1:15">
      <c r="A2178" s="3" t="s">
        <v>15</v>
      </c>
      <c r="B2178" s="3" t="str">
        <f>"FES1162742129"</f>
        <v>FES1162742129</v>
      </c>
      <c r="C2178" s="3" t="s">
        <v>1660</v>
      </c>
      <c r="D2178" s="3">
        <v>1</v>
      </c>
      <c r="E2178" s="3" t="str">
        <f>"2170733642"</f>
        <v>2170733642</v>
      </c>
      <c r="F2178" s="3" t="s">
        <v>17</v>
      </c>
      <c r="G2178" s="3" t="s">
        <v>18</v>
      </c>
      <c r="H2178" s="3" t="s">
        <v>19</v>
      </c>
      <c r="I2178" s="3" t="s">
        <v>51</v>
      </c>
      <c r="J2178" s="3" t="s">
        <v>52</v>
      </c>
      <c r="K2178" s="3" t="s">
        <v>1666</v>
      </c>
      <c r="L2178" s="4">
        <v>0.33194444444444443</v>
      </c>
      <c r="M2178" s="3" t="s">
        <v>53</v>
      </c>
      <c r="N2178" s="3" t="s">
        <v>24</v>
      </c>
      <c r="O2178" s="3" t="s">
        <v>25</v>
      </c>
    </row>
    <row r="2179" spans="1:15">
      <c r="A2179" s="3" t="s">
        <v>15</v>
      </c>
      <c r="B2179" s="3" t="str">
        <f>"FES1162742181"</f>
        <v>FES1162742181</v>
      </c>
      <c r="C2179" s="3" t="s">
        <v>1660</v>
      </c>
      <c r="D2179" s="3">
        <v>1</v>
      </c>
      <c r="E2179" s="3" t="str">
        <f>"2170733114"</f>
        <v>2170733114</v>
      </c>
      <c r="F2179" s="3" t="s">
        <v>17</v>
      </c>
      <c r="G2179" s="3" t="s">
        <v>18</v>
      </c>
      <c r="H2179" s="3" t="s">
        <v>18</v>
      </c>
      <c r="I2179" s="3" t="s">
        <v>171</v>
      </c>
      <c r="J2179" s="3" t="s">
        <v>1599</v>
      </c>
      <c r="K2179" s="3" t="s">
        <v>1666</v>
      </c>
      <c r="L2179" s="4">
        <v>0.3430555555555555</v>
      </c>
      <c r="M2179" s="3" t="s">
        <v>1821</v>
      </c>
      <c r="N2179" s="3" t="s">
        <v>24</v>
      </c>
      <c r="O2179" s="3" t="s">
        <v>25</v>
      </c>
    </row>
    <row r="2180" spans="1:15">
      <c r="A2180" s="3" t="s">
        <v>15</v>
      </c>
      <c r="B2180" s="3" t="str">
        <f>"FES1162742192"</f>
        <v>FES1162742192</v>
      </c>
      <c r="C2180" s="3" t="s">
        <v>1660</v>
      </c>
      <c r="D2180" s="3">
        <v>1</v>
      </c>
      <c r="E2180" s="3" t="str">
        <f>"2170733688"</f>
        <v>2170733688</v>
      </c>
      <c r="F2180" s="3" t="s">
        <v>17</v>
      </c>
      <c r="G2180" s="3" t="s">
        <v>18</v>
      </c>
      <c r="H2180" s="3" t="s">
        <v>18</v>
      </c>
      <c r="I2180" s="3" t="s">
        <v>151</v>
      </c>
      <c r="J2180" s="3" t="s">
        <v>771</v>
      </c>
      <c r="K2180" s="3" t="s">
        <v>1666</v>
      </c>
      <c r="L2180" s="4">
        <v>0.33333333333333331</v>
      </c>
      <c r="M2180" s="3" t="s">
        <v>772</v>
      </c>
      <c r="N2180" s="3" t="s">
        <v>24</v>
      </c>
      <c r="O2180" s="3" t="s">
        <v>25</v>
      </c>
    </row>
    <row r="2181" spans="1:15">
      <c r="A2181" s="5" t="s">
        <v>15</v>
      </c>
      <c r="B2181" s="5" t="str">
        <f>"FES1162742080"</f>
        <v>FES1162742080</v>
      </c>
      <c r="C2181" s="5" t="s">
        <v>1660</v>
      </c>
      <c r="D2181" s="5">
        <v>1</v>
      </c>
      <c r="E2181" s="5" t="str">
        <f>"2170733604 3"</f>
        <v>2170733604 3</v>
      </c>
      <c r="F2181" s="5" t="s">
        <v>17</v>
      </c>
      <c r="G2181" s="5" t="s">
        <v>18</v>
      </c>
      <c r="H2181" s="5" t="s">
        <v>18</v>
      </c>
      <c r="I2181" s="5" t="s">
        <v>33</v>
      </c>
      <c r="J2181" s="5" t="s">
        <v>34</v>
      </c>
      <c r="K2181" s="5" t="s">
        <v>1666</v>
      </c>
      <c r="L2181" s="6">
        <v>0.37708333333333338</v>
      </c>
      <c r="M2181" s="5" t="s">
        <v>1672</v>
      </c>
      <c r="N2181" s="5" t="s">
        <v>24</v>
      </c>
      <c r="O2181" s="5" t="s">
        <v>25</v>
      </c>
    </row>
    <row r="2182" spans="1:15">
      <c r="A2182" s="5" t="s">
        <v>15</v>
      </c>
      <c r="B2182" s="5" t="str">
        <f>"FES1162742218"</f>
        <v>FES1162742218</v>
      </c>
      <c r="C2182" s="5" t="s">
        <v>1660</v>
      </c>
      <c r="D2182" s="5">
        <v>1</v>
      </c>
      <c r="E2182" s="5" t="str">
        <f>"2170733722"</f>
        <v>2170733722</v>
      </c>
      <c r="F2182" s="5" t="s">
        <v>17</v>
      </c>
      <c r="G2182" s="5" t="s">
        <v>18</v>
      </c>
      <c r="H2182" s="5" t="s">
        <v>100</v>
      </c>
      <c r="I2182" s="5" t="s">
        <v>262</v>
      </c>
      <c r="J2182" s="5" t="s">
        <v>409</v>
      </c>
      <c r="K2182" s="5" t="s">
        <v>1666</v>
      </c>
      <c r="L2182" s="6">
        <v>0.37708333333333338</v>
      </c>
      <c r="M2182" s="5" t="s">
        <v>1822</v>
      </c>
      <c r="N2182" s="5" t="s">
        <v>24</v>
      </c>
      <c r="O2182" s="5" t="s">
        <v>1681</v>
      </c>
    </row>
    <row r="2183" spans="1:15">
      <c r="A2183" s="5" t="s">
        <v>15</v>
      </c>
      <c r="B2183" s="5" t="str">
        <f>"FES1162742233"</f>
        <v>FES1162742233</v>
      </c>
      <c r="C2183" s="5" t="s">
        <v>1660</v>
      </c>
      <c r="D2183" s="5">
        <v>1</v>
      </c>
      <c r="E2183" s="5" t="str">
        <f>"2170733742"</f>
        <v>2170733742</v>
      </c>
      <c r="F2183" s="5" t="s">
        <v>17</v>
      </c>
      <c r="G2183" s="5" t="s">
        <v>18</v>
      </c>
      <c r="H2183" s="5" t="s">
        <v>36</v>
      </c>
      <c r="I2183" s="5" t="s">
        <v>330</v>
      </c>
      <c r="J2183" s="5" t="s">
        <v>331</v>
      </c>
      <c r="K2183" s="5" t="s">
        <v>1666</v>
      </c>
      <c r="L2183" s="6">
        <v>0.42430555555555555</v>
      </c>
      <c r="M2183" s="5" t="s">
        <v>332</v>
      </c>
      <c r="N2183" s="5" t="s">
        <v>24</v>
      </c>
      <c r="O2183" s="5" t="s">
        <v>25</v>
      </c>
    </row>
    <row r="2184" spans="1:15">
      <c r="A2184" s="5" t="s">
        <v>15</v>
      </c>
      <c r="B2184" s="5" t="str">
        <f>"FES1162742214"</f>
        <v>FES1162742214</v>
      </c>
      <c r="C2184" s="5" t="s">
        <v>1660</v>
      </c>
      <c r="D2184" s="5">
        <v>1</v>
      </c>
      <c r="E2184" s="5" t="str">
        <f>"2170733718"</f>
        <v>2170733718</v>
      </c>
      <c r="F2184" s="5" t="s">
        <v>17</v>
      </c>
      <c r="G2184" s="5" t="s">
        <v>18</v>
      </c>
      <c r="H2184" s="5" t="s">
        <v>100</v>
      </c>
      <c r="I2184" s="5" t="s">
        <v>101</v>
      </c>
      <c r="J2184" s="5" t="s">
        <v>1211</v>
      </c>
      <c r="K2184" s="5" t="s">
        <v>1666</v>
      </c>
      <c r="L2184" s="6">
        <v>0.33958333333333335</v>
      </c>
      <c r="M2184" s="5" t="s">
        <v>1823</v>
      </c>
      <c r="N2184" s="5" t="s">
        <v>24</v>
      </c>
      <c r="O2184" s="5" t="s">
        <v>25</v>
      </c>
    </row>
    <row r="2185" spans="1:15">
      <c r="A2185" s="3" t="s">
        <v>15</v>
      </c>
      <c r="B2185" s="3" t="str">
        <f>"FES1162741668"</f>
        <v>FES1162741668</v>
      </c>
      <c r="C2185" s="3" t="s">
        <v>1660</v>
      </c>
      <c r="D2185" s="3">
        <v>1</v>
      </c>
      <c r="E2185" s="3" t="str">
        <f>"2170731014"</f>
        <v>2170731014</v>
      </c>
      <c r="F2185" s="3" t="s">
        <v>17</v>
      </c>
      <c r="G2185" s="3" t="s">
        <v>18</v>
      </c>
      <c r="H2185" s="3" t="s">
        <v>36</v>
      </c>
      <c r="I2185" s="3" t="s">
        <v>330</v>
      </c>
      <c r="J2185" s="3" t="s">
        <v>331</v>
      </c>
      <c r="K2185" s="3" t="s">
        <v>1666</v>
      </c>
      <c r="L2185" s="4">
        <v>0.42430555555555555</v>
      </c>
      <c r="M2185" s="3" t="s">
        <v>332</v>
      </c>
      <c r="N2185" s="3" t="s">
        <v>24</v>
      </c>
      <c r="O2185" s="3" t="s">
        <v>25</v>
      </c>
    </row>
    <row r="2186" spans="1:15">
      <c r="A2186" s="5" t="s">
        <v>15</v>
      </c>
      <c r="B2186" s="5" t="str">
        <f>"FES1162742107"</f>
        <v>FES1162742107</v>
      </c>
      <c r="C2186" s="5" t="s">
        <v>1660</v>
      </c>
      <c r="D2186" s="5">
        <v>1</v>
      </c>
      <c r="E2186" s="5" t="str">
        <f>"2170733493"</f>
        <v>2170733493</v>
      </c>
      <c r="F2186" s="5" t="s">
        <v>17</v>
      </c>
      <c r="G2186" s="5" t="s">
        <v>18</v>
      </c>
      <c r="H2186" s="5" t="s">
        <v>19</v>
      </c>
      <c r="I2186" s="5" t="s">
        <v>445</v>
      </c>
      <c r="J2186" s="5" t="s">
        <v>446</v>
      </c>
      <c r="K2186" s="5" t="s">
        <v>1666</v>
      </c>
      <c r="L2186" s="6">
        <v>0.4375</v>
      </c>
      <c r="M2186" s="5" t="s">
        <v>1777</v>
      </c>
      <c r="N2186" s="5" t="s">
        <v>24</v>
      </c>
      <c r="O2186" s="5" t="s">
        <v>25</v>
      </c>
    </row>
    <row r="2187" spans="1:15">
      <c r="A2187" s="5" t="s">
        <v>15</v>
      </c>
      <c r="B2187" s="5" t="str">
        <f>"FES1162742120"</f>
        <v>FES1162742120</v>
      </c>
      <c r="C2187" s="5" t="s">
        <v>1660</v>
      </c>
      <c r="D2187" s="5">
        <v>1</v>
      </c>
      <c r="E2187" s="5" t="str">
        <f>"2170733627"</f>
        <v>2170733627</v>
      </c>
      <c r="F2187" s="5" t="s">
        <v>17</v>
      </c>
      <c r="G2187" s="5" t="s">
        <v>18</v>
      </c>
      <c r="H2187" s="5" t="s">
        <v>19</v>
      </c>
      <c r="I2187" s="5" t="s">
        <v>20</v>
      </c>
      <c r="J2187" s="5" t="s">
        <v>358</v>
      </c>
      <c r="K2187" s="5" t="s">
        <v>1666</v>
      </c>
      <c r="L2187" s="6">
        <v>0.38819444444444445</v>
      </c>
      <c r="M2187" s="5" t="s">
        <v>1820</v>
      </c>
      <c r="N2187" s="5" t="s">
        <v>24</v>
      </c>
      <c r="O2187" s="5" t="s">
        <v>25</v>
      </c>
    </row>
    <row r="2188" spans="1:15">
      <c r="A2188" s="5" t="s">
        <v>15</v>
      </c>
      <c r="B2188" s="5" t="str">
        <f>"FES1162742126"</f>
        <v>FES1162742126</v>
      </c>
      <c r="C2188" s="5" t="s">
        <v>1660</v>
      </c>
      <c r="D2188" s="5">
        <v>1</v>
      </c>
      <c r="E2188" s="5" t="str">
        <f>"2170733638"</f>
        <v>2170733638</v>
      </c>
      <c r="F2188" s="5" t="s">
        <v>17</v>
      </c>
      <c r="G2188" s="5" t="s">
        <v>18</v>
      </c>
      <c r="H2188" s="5" t="s">
        <v>19</v>
      </c>
      <c r="I2188" s="5" t="s">
        <v>20</v>
      </c>
      <c r="J2188" s="5" t="s">
        <v>1759</v>
      </c>
      <c r="K2188" s="5" t="s">
        <v>1666</v>
      </c>
      <c r="L2188" s="6">
        <v>0.36805555555555558</v>
      </c>
      <c r="M2188" s="5" t="s">
        <v>1760</v>
      </c>
      <c r="N2188" s="5" t="s">
        <v>24</v>
      </c>
      <c r="O2188" s="5" t="s">
        <v>25</v>
      </c>
    </row>
    <row r="2189" spans="1:15">
      <c r="A2189" s="5" t="s">
        <v>15</v>
      </c>
      <c r="B2189" s="5" t="str">
        <f>"009935712350"</f>
        <v>009935712350</v>
      </c>
      <c r="C2189" s="5" t="s">
        <v>1660</v>
      </c>
      <c r="D2189" s="5">
        <v>1</v>
      </c>
      <c r="E2189" s="5" t="str">
        <f>"1162733871"</f>
        <v>1162733871</v>
      </c>
      <c r="F2189" s="5" t="s">
        <v>17</v>
      </c>
      <c r="G2189" s="5" t="s">
        <v>18</v>
      </c>
      <c r="H2189" s="5" t="s">
        <v>18</v>
      </c>
      <c r="I2189" s="5" t="s">
        <v>206</v>
      </c>
      <c r="J2189" s="5" t="s">
        <v>399</v>
      </c>
      <c r="K2189" s="5" t="s">
        <v>1666</v>
      </c>
      <c r="L2189" s="6">
        <v>0.36805555555555558</v>
      </c>
      <c r="M2189" s="5" t="s">
        <v>777</v>
      </c>
      <c r="N2189" s="5" t="s">
        <v>24</v>
      </c>
      <c r="O2189" s="5" t="s">
        <v>1824</v>
      </c>
    </row>
    <row r="2190" spans="1:15">
      <c r="A2190" s="5" t="s">
        <v>15</v>
      </c>
      <c r="B2190" s="5" t="str">
        <f>"FES11962742215"</f>
        <v>FES11962742215</v>
      </c>
      <c r="C2190" s="5" t="s">
        <v>1660</v>
      </c>
      <c r="D2190" s="5">
        <v>1</v>
      </c>
      <c r="E2190" s="5" t="str">
        <f>"2170733719"</f>
        <v>2170733719</v>
      </c>
      <c r="F2190" s="5" t="s">
        <v>17</v>
      </c>
      <c r="G2190" s="5" t="s">
        <v>18</v>
      </c>
      <c r="H2190" s="5" t="s">
        <v>18</v>
      </c>
      <c r="I2190" s="5" t="s">
        <v>33</v>
      </c>
      <c r="J2190" s="5" t="s">
        <v>1028</v>
      </c>
      <c r="K2190" s="5" t="s">
        <v>1666</v>
      </c>
      <c r="L2190" s="6">
        <v>0.32708333333333334</v>
      </c>
      <c r="M2190" s="5" t="s">
        <v>1825</v>
      </c>
      <c r="N2190" s="5" t="s">
        <v>24</v>
      </c>
      <c r="O2190" s="5" t="s">
        <v>25</v>
      </c>
    </row>
    <row r="2191" spans="1:15">
      <c r="A2191" s="5" t="s">
        <v>15</v>
      </c>
      <c r="B2191" s="5" t="str">
        <f>"FES1162742194"</f>
        <v>FES1162742194</v>
      </c>
      <c r="C2191" s="5" t="s">
        <v>1660</v>
      </c>
      <c r="D2191" s="5">
        <v>1</v>
      </c>
      <c r="E2191" s="5" t="str">
        <f>"2170733690"</f>
        <v>2170733690</v>
      </c>
      <c r="F2191" s="5" t="s">
        <v>17</v>
      </c>
      <c r="G2191" s="5" t="s">
        <v>18</v>
      </c>
      <c r="H2191" s="5" t="s">
        <v>18</v>
      </c>
      <c r="I2191" s="5" t="s">
        <v>33</v>
      </c>
      <c r="J2191" s="5" t="s">
        <v>34</v>
      </c>
      <c r="K2191" s="5" t="s">
        <v>1666</v>
      </c>
      <c r="L2191" s="6">
        <v>0.37777777777777777</v>
      </c>
      <c r="M2191" s="5" t="s">
        <v>1672</v>
      </c>
      <c r="N2191" s="5" t="s">
        <v>24</v>
      </c>
      <c r="O2191" s="5" t="s">
        <v>25</v>
      </c>
    </row>
    <row r="2192" spans="1:15">
      <c r="A2192" s="5" t="s">
        <v>15</v>
      </c>
      <c r="B2192" s="5" t="str">
        <f>"FES1162742191"</f>
        <v>FES1162742191</v>
      </c>
      <c r="C2192" s="5" t="s">
        <v>1660</v>
      </c>
      <c r="D2192" s="5">
        <v>1</v>
      </c>
      <c r="E2192" s="5" t="str">
        <f>"2170733685"</f>
        <v>2170733685</v>
      </c>
      <c r="F2192" s="5" t="s">
        <v>17</v>
      </c>
      <c r="G2192" s="5" t="s">
        <v>18</v>
      </c>
      <c r="H2192" s="5" t="s">
        <v>18</v>
      </c>
      <c r="I2192" s="5" t="s">
        <v>33</v>
      </c>
      <c r="J2192" s="5" t="s">
        <v>1826</v>
      </c>
      <c r="K2192" s="5" t="s">
        <v>1666</v>
      </c>
      <c r="L2192" s="6">
        <v>0.4375</v>
      </c>
      <c r="M2192" s="5" t="s">
        <v>1827</v>
      </c>
      <c r="N2192" s="5" t="s">
        <v>24</v>
      </c>
      <c r="O2192" s="5" t="s">
        <v>25</v>
      </c>
    </row>
    <row r="2193" spans="1:15">
      <c r="A2193" s="5" t="s">
        <v>15</v>
      </c>
      <c r="B2193" s="5" t="str">
        <f>"FES1162742225"</f>
        <v>FES1162742225</v>
      </c>
      <c r="C2193" s="5" t="s">
        <v>1660</v>
      </c>
      <c r="D2193" s="5">
        <v>1</v>
      </c>
      <c r="E2193" s="5" t="str">
        <f>"2170733731"</f>
        <v>2170733731</v>
      </c>
      <c r="F2193" s="5" t="s">
        <v>17</v>
      </c>
      <c r="G2193" s="5" t="s">
        <v>18</v>
      </c>
      <c r="H2193" s="5" t="s">
        <v>215</v>
      </c>
      <c r="I2193" s="5" t="s">
        <v>1090</v>
      </c>
      <c r="J2193" s="5" t="s">
        <v>1091</v>
      </c>
      <c r="K2193" s="5" t="s">
        <v>1666</v>
      </c>
      <c r="L2193" s="6">
        <v>0.4375</v>
      </c>
      <c r="M2193" s="5" t="s">
        <v>1800</v>
      </c>
      <c r="N2193" s="5" t="s">
        <v>24</v>
      </c>
      <c r="O2193" s="5" t="s">
        <v>25</v>
      </c>
    </row>
    <row r="2194" spans="1:15">
      <c r="A2194" s="5" t="s">
        <v>15</v>
      </c>
      <c r="B2194" s="5" t="str">
        <f>"FES1162742226"</f>
        <v>FES1162742226</v>
      </c>
      <c r="C2194" s="5" t="s">
        <v>1660</v>
      </c>
      <c r="D2194" s="5">
        <v>1</v>
      </c>
      <c r="E2194" s="5" t="str">
        <f>"2170733733"</f>
        <v>2170733733</v>
      </c>
      <c r="F2194" s="5" t="s">
        <v>17</v>
      </c>
      <c r="G2194" s="5" t="s">
        <v>18</v>
      </c>
      <c r="H2194" s="5" t="s">
        <v>66</v>
      </c>
      <c r="I2194" s="5" t="s">
        <v>67</v>
      </c>
      <c r="J2194" s="5" t="s">
        <v>1196</v>
      </c>
      <c r="K2194" s="5" t="s">
        <v>1666</v>
      </c>
      <c r="L2194" s="6">
        <v>0.46527777777777773</v>
      </c>
      <c r="M2194" s="5" t="s">
        <v>425</v>
      </c>
      <c r="N2194" s="5" t="s">
        <v>24</v>
      </c>
      <c r="O2194" s="5" t="s">
        <v>25</v>
      </c>
    </row>
    <row r="2195" spans="1:15">
      <c r="A2195" s="5" t="s">
        <v>15</v>
      </c>
      <c r="B2195" s="5" t="str">
        <f>"FES1162742221"</f>
        <v>FES1162742221</v>
      </c>
      <c r="C2195" s="5" t="s">
        <v>1660</v>
      </c>
      <c r="D2195" s="5">
        <v>1</v>
      </c>
      <c r="E2195" s="5" t="str">
        <f>"2170733725"</f>
        <v>2170733725</v>
      </c>
      <c r="F2195" s="5" t="s">
        <v>17</v>
      </c>
      <c r="G2195" s="5" t="s">
        <v>18</v>
      </c>
      <c r="H2195" s="5" t="s">
        <v>18</v>
      </c>
      <c r="I2195" s="5" t="s">
        <v>151</v>
      </c>
      <c r="J2195" s="5" t="s">
        <v>771</v>
      </c>
      <c r="K2195" s="5" t="s">
        <v>1666</v>
      </c>
      <c r="L2195" s="6">
        <v>0.33333333333333331</v>
      </c>
      <c r="M2195" s="5" t="s">
        <v>1828</v>
      </c>
      <c r="N2195" s="5" t="s">
        <v>24</v>
      </c>
      <c r="O2195" s="5" t="s">
        <v>25</v>
      </c>
    </row>
    <row r="2196" spans="1:15">
      <c r="A2196" s="3" t="s">
        <v>15</v>
      </c>
      <c r="B2196" s="3" t="str">
        <f>"FES1162742240"</f>
        <v>FES1162742240</v>
      </c>
      <c r="C2196" s="3" t="s">
        <v>1660</v>
      </c>
      <c r="D2196" s="3">
        <v>1</v>
      </c>
      <c r="E2196" s="3" t="str">
        <f>"2170733749"</f>
        <v>2170733749</v>
      </c>
      <c r="F2196" s="3" t="s">
        <v>17</v>
      </c>
      <c r="G2196" s="3" t="s">
        <v>18</v>
      </c>
      <c r="H2196" s="3" t="s">
        <v>46</v>
      </c>
      <c r="I2196" s="3" t="s">
        <v>47</v>
      </c>
      <c r="J2196" s="3" t="s">
        <v>390</v>
      </c>
      <c r="K2196" s="3" t="s">
        <v>1666</v>
      </c>
      <c r="L2196" s="4">
        <v>0.36874999999999997</v>
      </c>
      <c r="M2196" s="3" t="s">
        <v>1767</v>
      </c>
      <c r="N2196" s="3" t="s">
        <v>24</v>
      </c>
      <c r="O2196" s="3" t="s">
        <v>25</v>
      </c>
    </row>
    <row r="2197" spans="1:15">
      <c r="A2197" s="3" t="s">
        <v>15</v>
      </c>
      <c r="B2197" s="3" t="str">
        <f>"FES1162742230"</f>
        <v>FES1162742230</v>
      </c>
      <c r="C2197" s="3" t="s">
        <v>1660</v>
      </c>
      <c r="D2197" s="3">
        <v>1</v>
      </c>
      <c r="E2197" s="3" t="str">
        <f>"2170733738"</f>
        <v>2170733738</v>
      </c>
      <c r="F2197" s="3" t="s">
        <v>17</v>
      </c>
      <c r="G2197" s="3" t="s">
        <v>18</v>
      </c>
      <c r="H2197" s="3" t="s">
        <v>100</v>
      </c>
      <c r="I2197" s="3" t="s">
        <v>101</v>
      </c>
      <c r="J2197" s="3" t="s">
        <v>137</v>
      </c>
      <c r="K2197" s="3" t="s">
        <v>1666</v>
      </c>
      <c r="L2197" s="4">
        <v>0.40833333333333338</v>
      </c>
      <c r="M2197" s="3" t="s">
        <v>371</v>
      </c>
      <c r="N2197" s="3" t="s">
        <v>24</v>
      </c>
      <c r="O2197" s="3" t="s">
        <v>25</v>
      </c>
    </row>
    <row r="2198" spans="1:15">
      <c r="A2198" s="3" t="s">
        <v>15</v>
      </c>
      <c r="B2198" s="3" t="str">
        <f>"009939866053"</f>
        <v>009939866053</v>
      </c>
      <c r="C2198" s="3" t="s">
        <v>1660</v>
      </c>
      <c r="D2198" s="3">
        <v>1</v>
      </c>
      <c r="E2198" s="3" t="str">
        <f>""</f>
        <v/>
      </c>
      <c r="F2198" s="3" t="s">
        <v>17</v>
      </c>
      <c r="G2198" s="3" t="s">
        <v>100</v>
      </c>
      <c r="H2198" s="3" t="s">
        <v>18</v>
      </c>
      <c r="I2198" s="3" t="s">
        <v>29</v>
      </c>
      <c r="J2198" s="3" t="s">
        <v>529</v>
      </c>
      <c r="K2198" s="3" t="s">
        <v>1666</v>
      </c>
      <c r="L2198" s="4">
        <v>0.36319444444444443</v>
      </c>
      <c r="M2198" s="3" t="s">
        <v>777</v>
      </c>
      <c r="N2198" s="3" t="s">
        <v>24</v>
      </c>
      <c r="O2198" s="3" t="s">
        <v>25</v>
      </c>
    </row>
    <row r="2199" spans="1:15">
      <c r="A2199" s="3" t="s">
        <v>15</v>
      </c>
      <c r="B2199" s="3" t="str">
        <f>"FES1162741715"</f>
        <v>FES1162741715</v>
      </c>
      <c r="C2199" s="3" t="s">
        <v>1660</v>
      </c>
      <c r="D2199" s="3">
        <v>1</v>
      </c>
      <c r="E2199" s="3" t="str">
        <f>"2170733190"</f>
        <v>2170733190</v>
      </c>
      <c r="F2199" s="3" t="s">
        <v>17</v>
      </c>
      <c r="G2199" s="3" t="s">
        <v>18</v>
      </c>
      <c r="H2199" s="3" t="s">
        <v>36</v>
      </c>
      <c r="I2199" s="3" t="s">
        <v>37</v>
      </c>
      <c r="J2199" s="3" t="s">
        <v>593</v>
      </c>
      <c r="K2199" s="3" t="s">
        <v>1666</v>
      </c>
      <c r="L2199" s="4">
        <v>0.34513888888888888</v>
      </c>
      <c r="M2199" s="3" t="s">
        <v>938</v>
      </c>
      <c r="N2199" s="3" t="s">
        <v>24</v>
      </c>
      <c r="O2199" s="3" t="s">
        <v>25</v>
      </c>
    </row>
    <row r="2200" spans="1:15">
      <c r="A2200" s="3" t="s">
        <v>15</v>
      </c>
      <c r="B2200" s="3" t="str">
        <f>"FES1162742227"</f>
        <v>FES1162742227</v>
      </c>
      <c r="C2200" s="3" t="s">
        <v>1660</v>
      </c>
      <c r="D2200" s="3">
        <v>1</v>
      </c>
      <c r="E2200" s="3" t="str">
        <f>"2170733734"</f>
        <v>2170733734</v>
      </c>
      <c r="F2200" s="3" t="s">
        <v>17</v>
      </c>
      <c r="G2200" s="3" t="s">
        <v>18</v>
      </c>
      <c r="H2200" s="3" t="s">
        <v>19</v>
      </c>
      <c r="I2200" s="3" t="s">
        <v>20</v>
      </c>
      <c r="J2200" s="3" t="s">
        <v>1829</v>
      </c>
      <c r="K2200" s="3" t="s">
        <v>1666</v>
      </c>
      <c r="L2200" s="4">
        <v>0.36319444444444443</v>
      </c>
      <c r="M2200" s="3" t="s">
        <v>1830</v>
      </c>
      <c r="N2200" s="3" t="s">
        <v>24</v>
      </c>
      <c r="O2200" s="3" t="s">
        <v>25</v>
      </c>
    </row>
    <row r="2201" spans="1:15">
      <c r="A2201" s="3" t="s">
        <v>15</v>
      </c>
      <c r="B2201" s="3" t="str">
        <f>"FES1162742245"</f>
        <v>FES1162742245</v>
      </c>
      <c r="C2201" s="3" t="s">
        <v>1660</v>
      </c>
      <c r="D2201" s="3">
        <v>1</v>
      </c>
      <c r="E2201" s="3" t="str">
        <f>"2170733484"</f>
        <v>2170733484</v>
      </c>
      <c r="F2201" s="3" t="s">
        <v>17</v>
      </c>
      <c r="G2201" s="3" t="s">
        <v>18</v>
      </c>
      <c r="H2201" s="3" t="s">
        <v>100</v>
      </c>
      <c r="I2201" s="3" t="s">
        <v>101</v>
      </c>
      <c r="J2201" s="3" t="s">
        <v>137</v>
      </c>
      <c r="K2201" s="3" t="s">
        <v>1666</v>
      </c>
      <c r="L2201" s="4">
        <v>0.40902777777777777</v>
      </c>
      <c r="M2201" s="3" t="s">
        <v>371</v>
      </c>
      <c r="N2201" s="3" t="s">
        <v>24</v>
      </c>
      <c r="O2201" s="3" t="s">
        <v>25</v>
      </c>
    </row>
    <row r="2202" spans="1:15">
      <c r="A2202" s="3" t="s">
        <v>15</v>
      </c>
      <c r="B2202" s="3" t="str">
        <f>"FES1162741797"</f>
        <v>FES1162741797</v>
      </c>
      <c r="C2202" s="3" t="s">
        <v>1660</v>
      </c>
      <c r="D2202" s="3">
        <v>1</v>
      </c>
      <c r="E2202" s="3" t="str">
        <f>"21707333111"</f>
        <v>21707333111</v>
      </c>
      <c r="F2202" s="3" t="s">
        <v>17</v>
      </c>
      <c r="G2202" s="3" t="s">
        <v>18</v>
      </c>
      <c r="H2202" s="3" t="s">
        <v>36</v>
      </c>
      <c r="I2202" s="3" t="s">
        <v>1440</v>
      </c>
      <c r="J2202" s="3" t="s">
        <v>1441</v>
      </c>
      <c r="K2202" s="3" t="s">
        <v>1666</v>
      </c>
      <c r="L2202" s="3" t="s">
        <v>1667</v>
      </c>
      <c r="M2202" s="3" t="s">
        <v>1732</v>
      </c>
      <c r="N2202" s="3" t="s">
        <v>24</v>
      </c>
      <c r="O2202" s="3" t="s">
        <v>25</v>
      </c>
    </row>
    <row r="2203" spans="1:15">
      <c r="A2203" s="3" t="s">
        <v>15</v>
      </c>
      <c r="B2203" s="3" t="str">
        <f>"FES1162741809"</f>
        <v>FES1162741809</v>
      </c>
      <c r="C2203" s="3" t="s">
        <v>1660</v>
      </c>
      <c r="D2203" s="3">
        <v>1</v>
      </c>
      <c r="E2203" s="3" t="str">
        <f>"217073326"</f>
        <v>217073326</v>
      </c>
      <c r="F2203" s="3" t="s">
        <v>17</v>
      </c>
      <c r="G2203" s="3" t="s">
        <v>18</v>
      </c>
      <c r="H2203" s="3" t="s">
        <v>46</v>
      </c>
      <c r="I2203" s="3" t="s">
        <v>47</v>
      </c>
      <c r="J2203" s="3" t="s">
        <v>48</v>
      </c>
      <c r="K2203" s="3" t="s">
        <v>1666</v>
      </c>
      <c r="L2203" s="4">
        <v>0.43402777777777773</v>
      </c>
      <c r="M2203" s="3" t="s">
        <v>1025</v>
      </c>
      <c r="N2203" s="3" t="s">
        <v>24</v>
      </c>
      <c r="O2203" s="3" t="s">
        <v>25</v>
      </c>
    </row>
    <row r="2204" spans="1:15">
      <c r="A2204" s="3" t="s">
        <v>15</v>
      </c>
      <c r="B2204" s="3" t="str">
        <f>"FES1162741790"</f>
        <v>FES1162741790</v>
      </c>
      <c r="C2204" s="3" t="s">
        <v>1660</v>
      </c>
      <c r="D2204" s="3">
        <v>1</v>
      </c>
      <c r="E2204" s="3" t="str">
        <f>"2170733300"</f>
        <v>2170733300</v>
      </c>
      <c r="F2204" s="3" t="s">
        <v>17</v>
      </c>
      <c r="G2204" s="3" t="s">
        <v>18</v>
      </c>
      <c r="H2204" s="3" t="s">
        <v>46</v>
      </c>
      <c r="I2204" s="3" t="s">
        <v>47</v>
      </c>
      <c r="J2204" s="3" t="s">
        <v>135</v>
      </c>
      <c r="K2204" s="3" t="s">
        <v>1666</v>
      </c>
      <c r="L2204" s="4">
        <v>0.43124999999999997</v>
      </c>
      <c r="M2204" s="3" t="s">
        <v>1831</v>
      </c>
      <c r="N2204" s="3" t="s">
        <v>24</v>
      </c>
      <c r="O2204" s="3" t="s">
        <v>25</v>
      </c>
    </row>
    <row r="2205" spans="1:15">
      <c r="A2205" s="3" t="s">
        <v>15</v>
      </c>
      <c r="B2205" s="3" t="str">
        <f>"FES11652742239"</f>
        <v>FES11652742239</v>
      </c>
      <c r="C2205" s="3" t="s">
        <v>1660</v>
      </c>
      <c r="D2205" s="3">
        <v>1</v>
      </c>
      <c r="E2205" s="3" t="str">
        <f>"2170733747"</f>
        <v>2170733747</v>
      </c>
      <c r="F2205" s="3" t="s">
        <v>17</v>
      </c>
      <c r="G2205" s="3" t="s">
        <v>18</v>
      </c>
      <c r="H2205" s="3" t="s">
        <v>18</v>
      </c>
      <c r="I2205" s="3" t="s">
        <v>171</v>
      </c>
      <c r="J2205" s="3" t="s">
        <v>1832</v>
      </c>
      <c r="K2205" s="3" t="s">
        <v>1666</v>
      </c>
      <c r="L2205" s="4">
        <v>0.41111111111111115</v>
      </c>
      <c r="M2205" s="3" t="s">
        <v>182</v>
      </c>
      <c r="N2205" s="3" t="s">
        <v>24</v>
      </c>
      <c r="O2205" s="3" t="s">
        <v>25</v>
      </c>
    </row>
    <row r="2206" spans="1:15">
      <c r="A2206" s="3" t="s">
        <v>15</v>
      </c>
      <c r="B2206" s="3" t="str">
        <f>"FES1162742228"</f>
        <v>FES1162742228</v>
      </c>
      <c r="C2206" s="3" t="s">
        <v>1660</v>
      </c>
      <c r="D2206" s="3">
        <v>1</v>
      </c>
      <c r="E2206" s="3" t="str">
        <f>"2170733736"</f>
        <v>2170733736</v>
      </c>
      <c r="F2206" s="3" t="s">
        <v>17</v>
      </c>
      <c r="G2206" s="3" t="s">
        <v>18</v>
      </c>
      <c r="H2206" s="3" t="s">
        <v>70</v>
      </c>
      <c r="I2206" s="3" t="s">
        <v>708</v>
      </c>
      <c r="J2206" s="3" t="s">
        <v>1833</v>
      </c>
      <c r="K2206" s="3" t="s">
        <v>1666</v>
      </c>
      <c r="L2206" s="4">
        <v>0.55972222222222223</v>
      </c>
      <c r="M2206" s="3" t="s">
        <v>1834</v>
      </c>
      <c r="N2206" s="3" t="s">
        <v>24</v>
      </c>
      <c r="O2206" s="3" t="s">
        <v>25</v>
      </c>
    </row>
    <row r="2207" spans="1:15">
      <c r="A2207" s="3" t="s">
        <v>15</v>
      </c>
      <c r="B2207" s="3" t="str">
        <f>"FES1162742213"</f>
        <v>FES1162742213</v>
      </c>
      <c r="C2207" s="3" t="s">
        <v>1660</v>
      </c>
      <c r="D2207" s="3">
        <v>1</v>
      </c>
      <c r="E2207" s="3" t="str">
        <f>"2170733714"</f>
        <v>2170733714</v>
      </c>
      <c r="F2207" s="3" t="s">
        <v>17</v>
      </c>
      <c r="G2207" s="3" t="s">
        <v>18</v>
      </c>
      <c r="H2207" s="3" t="s">
        <v>19</v>
      </c>
      <c r="I2207" s="3" t="s">
        <v>20</v>
      </c>
      <c r="J2207" s="3" t="s">
        <v>56</v>
      </c>
      <c r="K2207" s="3" t="s">
        <v>1666</v>
      </c>
      <c r="L2207" s="4">
        <v>0.38194444444444442</v>
      </c>
      <c r="M2207" s="3" t="s">
        <v>57</v>
      </c>
      <c r="N2207" s="3" t="s">
        <v>24</v>
      </c>
      <c r="O2207" s="3" t="s">
        <v>25</v>
      </c>
    </row>
    <row r="2208" spans="1:15">
      <c r="A2208" s="3" t="s">
        <v>15</v>
      </c>
      <c r="B2208" s="3" t="str">
        <f>"FES1162742237"</f>
        <v>FES1162742237</v>
      </c>
      <c r="C2208" s="3" t="s">
        <v>1660</v>
      </c>
      <c r="D2208" s="3">
        <v>1</v>
      </c>
      <c r="E2208" s="3" t="str">
        <f>"2170733732"</f>
        <v>2170733732</v>
      </c>
      <c r="F2208" s="3" t="s">
        <v>17</v>
      </c>
      <c r="G2208" s="3" t="s">
        <v>18</v>
      </c>
      <c r="H2208" s="3" t="s">
        <v>18</v>
      </c>
      <c r="I2208" s="3" t="s">
        <v>180</v>
      </c>
      <c r="J2208" s="3" t="s">
        <v>856</v>
      </c>
      <c r="K2208" s="3" t="s">
        <v>1666</v>
      </c>
      <c r="L2208" s="4">
        <v>0.37152777777777773</v>
      </c>
      <c r="M2208" s="3" t="s">
        <v>1709</v>
      </c>
      <c r="N2208" s="3" t="s">
        <v>24</v>
      </c>
      <c r="O2208" s="3" t="s">
        <v>25</v>
      </c>
    </row>
    <row r="2209" spans="1:15">
      <c r="A2209" s="3" t="s">
        <v>15</v>
      </c>
      <c r="B2209" s="3" t="str">
        <f>"FES1162742256"</f>
        <v>FES1162742256</v>
      </c>
      <c r="C2209" s="3" t="s">
        <v>1660</v>
      </c>
      <c r="D2209" s="3">
        <v>1</v>
      </c>
      <c r="E2209" s="3" t="str">
        <f>"2170733761"</f>
        <v>2170733761</v>
      </c>
      <c r="F2209" s="3" t="s">
        <v>17</v>
      </c>
      <c r="G2209" s="3" t="s">
        <v>18</v>
      </c>
      <c r="H2209" s="3" t="s">
        <v>100</v>
      </c>
      <c r="I2209" s="3" t="s">
        <v>101</v>
      </c>
      <c r="J2209" s="3" t="s">
        <v>921</v>
      </c>
      <c r="K2209" s="3" t="s">
        <v>1666</v>
      </c>
      <c r="L2209" s="4">
        <v>0.33402777777777781</v>
      </c>
      <c r="M2209" s="3" t="s">
        <v>922</v>
      </c>
      <c r="N2209" s="3" t="s">
        <v>24</v>
      </c>
      <c r="O2209" s="3" t="s">
        <v>25</v>
      </c>
    </row>
    <row r="2210" spans="1:15">
      <c r="A2210" s="3" t="s">
        <v>15</v>
      </c>
      <c r="B2210" s="3" t="str">
        <f>"FES1162742253"</f>
        <v>FES1162742253</v>
      </c>
      <c r="C2210" s="3" t="s">
        <v>1660</v>
      </c>
      <c r="D2210" s="3">
        <v>1</v>
      </c>
      <c r="E2210" s="3" t="str">
        <f>"2170733594"</f>
        <v>2170733594</v>
      </c>
      <c r="F2210" s="3" t="s">
        <v>17</v>
      </c>
      <c r="G2210" s="3" t="s">
        <v>18</v>
      </c>
      <c r="H2210" s="3" t="s">
        <v>100</v>
      </c>
      <c r="I2210" s="3" t="s">
        <v>101</v>
      </c>
      <c r="J2210" s="3" t="s">
        <v>137</v>
      </c>
      <c r="K2210" s="3" t="s">
        <v>1666</v>
      </c>
      <c r="L2210" s="4">
        <v>0.40902777777777777</v>
      </c>
      <c r="M2210" s="3" t="s">
        <v>371</v>
      </c>
      <c r="N2210" s="3" t="s">
        <v>24</v>
      </c>
      <c r="O2210" s="3" t="s">
        <v>25</v>
      </c>
    </row>
    <row r="2211" spans="1:15">
      <c r="A2211" s="3" t="s">
        <v>15</v>
      </c>
      <c r="B2211" s="3" t="str">
        <f>"FES1162742248"</f>
        <v>FES1162742248</v>
      </c>
      <c r="C2211" s="3" t="s">
        <v>1660</v>
      </c>
      <c r="D2211" s="3">
        <v>1</v>
      </c>
      <c r="E2211" s="3" t="str">
        <f>"2170733757"</f>
        <v>2170733757</v>
      </c>
      <c r="F2211" s="3" t="s">
        <v>17</v>
      </c>
      <c r="G2211" s="3" t="s">
        <v>18</v>
      </c>
      <c r="H2211" s="3" t="s">
        <v>100</v>
      </c>
      <c r="I2211" s="3" t="s">
        <v>101</v>
      </c>
      <c r="J2211" s="3" t="s">
        <v>1607</v>
      </c>
      <c r="K2211" s="3" t="s">
        <v>1666</v>
      </c>
      <c r="L2211" s="4">
        <v>0.41666666666666669</v>
      </c>
      <c r="M2211" s="3" t="s">
        <v>1835</v>
      </c>
      <c r="N2211" s="3" t="s">
        <v>24</v>
      </c>
      <c r="O2211" s="3" t="s">
        <v>25</v>
      </c>
    </row>
    <row r="2212" spans="1:15">
      <c r="A2212" s="3" t="s">
        <v>15</v>
      </c>
      <c r="B2212" s="3" t="str">
        <f>"FES1162742232"</f>
        <v>FES1162742232</v>
      </c>
      <c r="C2212" s="3" t="s">
        <v>1660</v>
      </c>
      <c r="D2212" s="3">
        <v>1</v>
      </c>
      <c r="E2212" s="3" t="str">
        <f>"2170733741"</f>
        <v>2170733741</v>
      </c>
      <c r="F2212" s="3" t="s">
        <v>17</v>
      </c>
      <c r="G2212" s="3" t="s">
        <v>18</v>
      </c>
      <c r="H2212" s="3" t="s">
        <v>18</v>
      </c>
      <c r="I2212" s="3" t="s">
        <v>33</v>
      </c>
      <c r="J2212" s="3" t="s">
        <v>1622</v>
      </c>
      <c r="K2212" s="3" t="s">
        <v>1666</v>
      </c>
      <c r="L2212" s="4">
        <v>0.375</v>
      </c>
      <c r="M2212" s="3" t="s">
        <v>268</v>
      </c>
      <c r="N2212" s="3" t="s">
        <v>24</v>
      </c>
      <c r="O2212" s="3" t="s">
        <v>25</v>
      </c>
    </row>
    <row r="2213" spans="1:15">
      <c r="A2213" s="3" t="s">
        <v>15</v>
      </c>
      <c r="B2213" s="3" t="str">
        <f>"FES1162741632"</f>
        <v>FES1162741632</v>
      </c>
      <c r="C2213" s="3" t="s">
        <v>1660</v>
      </c>
      <c r="D2213" s="3">
        <v>1</v>
      </c>
      <c r="E2213" s="3" t="str">
        <f>"2170733039"</f>
        <v>2170733039</v>
      </c>
      <c r="F2213" s="3" t="s">
        <v>17</v>
      </c>
      <c r="G2213" s="3" t="s">
        <v>18</v>
      </c>
      <c r="H2213" s="3" t="s">
        <v>46</v>
      </c>
      <c r="I2213" s="3" t="s">
        <v>47</v>
      </c>
      <c r="J2213" s="3" t="s">
        <v>133</v>
      </c>
      <c r="K2213" s="3" t="s">
        <v>1666</v>
      </c>
      <c r="L2213" s="4">
        <v>0.43333333333333335</v>
      </c>
      <c r="M2213" s="3" t="s">
        <v>1836</v>
      </c>
      <c r="N2213" s="3" t="s">
        <v>24</v>
      </c>
      <c r="O2213" s="3" t="s">
        <v>25</v>
      </c>
    </row>
    <row r="2214" spans="1:15">
      <c r="A2214" s="3" t="s">
        <v>15</v>
      </c>
      <c r="B2214" s="3" t="str">
        <f>"FES1162742104"</f>
        <v>FES1162742104</v>
      </c>
      <c r="C2214" s="3" t="s">
        <v>1660</v>
      </c>
      <c r="D2214" s="3">
        <v>1</v>
      </c>
      <c r="E2214" s="3" t="str">
        <f>"2170733364"</f>
        <v>2170733364</v>
      </c>
      <c r="F2214" s="3" t="s">
        <v>17</v>
      </c>
      <c r="G2214" s="3" t="s">
        <v>18</v>
      </c>
      <c r="H2214" s="3" t="s">
        <v>18</v>
      </c>
      <c r="I2214" s="3" t="s">
        <v>33</v>
      </c>
      <c r="J2214" s="3" t="s">
        <v>93</v>
      </c>
      <c r="K2214" s="3" t="s">
        <v>1666</v>
      </c>
      <c r="L2214" s="4">
        <v>0.4375</v>
      </c>
      <c r="M2214" s="3" t="s">
        <v>1819</v>
      </c>
      <c r="N2214" s="3" t="s">
        <v>24</v>
      </c>
      <c r="O2214" s="3" t="s">
        <v>25</v>
      </c>
    </row>
    <row r="2215" spans="1:15">
      <c r="A2215" s="3" t="s">
        <v>15</v>
      </c>
      <c r="B2215" s="3" t="str">
        <f>"FES1162742263"</f>
        <v>FES1162742263</v>
      </c>
      <c r="C2215" s="3" t="s">
        <v>1660</v>
      </c>
      <c r="D2215" s="3">
        <v>1</v>
      </c>
      <c r="E2215" s="3" t="str">
        <f>"2170733768"</f>
        <v>2170733768</v>
      </c>
      <c r="F2215" s="3" t="s">
        <v>17</v>
      </c>
      <c r="G2215" s="3" t="s">
        <v>18</v>
      </c>
      <c r="H2215" s="3" t="s">
        <v>100</v>
      </c>
      <c r="I2215" s="3" t="s">
        <v>101</v>
      </c>
      <c r="J2215" s="3" t="s">
        <v>1590</v>
      </c>
      <c r="K2215" s="3" t="s">
        <v>1666</v>
      </c>
      <c r="L2215" s="4">
        <v>0.42222222222222222</v>
      </c>
      <c r="M2215" s="3" t="s">
        <v>1591</v>
      </c>
      <c r="N2215" s="3" t="s">
        <v>24</v>
      </c>
      <c r="O2215" s="3" t="s">
        <v>25</v>
      </c>
    </row>
    <row r="2216" spans="1:15">
      <c r="A2216" s="3" t="s">
        <v>15</v>
      </c>
      <c r="B2216" s="3" t="str">
        <f>"FES1162741801"</f>
        <v>FES1162741801</v>
      </c>
      <c r="C2216" s="3" t="s">
        <v>1660</v>
      </c>
      <c r="D2216" s="3">
        <v>1</v>
      </c>
      <c r="E2216" s="3" t="str">
        <f>"2170733315"</f>
        <v>2170733315</v>
      </c>
      <c r="F2216" s="3" t="s">
        <v>17</v>
      </c>
      <c r="G2216" s="3" t="s">
        <v>18</v>
      </c>
      <c r="H2216" s="3" t="s">
        <v>36</v>
      </c>
      <c r="I2216" s="3" t="s">
        <v>1440</v>
      </c>
      <c r="J2216" s="3" t="s">
        <v>1441</v>
      </c>
      <c r="K2216" s="3" t="s">
        <v>1666</v>
      </c>
      <c r="L2216" s="3" t="s">
        <v>1667</v>
      </c>
      <c r="M2216" s="3" t="s">
        <v>1732</v>
      </c>
      <c r="N2216" s="3" t="s">
        <v>24</v>
      </c>
      <c r="O2216" s="3" t="s">
        <v>25</v>
      </c>
    </row>
    <row r="2217" spans="1:15">
      <c r="A2217" s="3" t="s">
        <v>15</v>
      </c>
      <c r="B2217" s="3" t="str">
        <f>"FES1162742244"</f>
        <v>FES1162742244</v>
      </c>
      <c r="C2217" s="3" t="s">
        <v>1660</v>
      </c>
      <c r="D2217" s="3">
        <v>1</v>
      </c>
      <c r="E2217" s="3" t="str">
        <f>"2170733753"</f>
        <v>2170733753</v>
      </c>
      <c r="F2217" s="3" t="s">
        <v>17</v>
      </c>
      <c r="G2217" s="3" t="s">
        <v>18</v>
      </c>
      <c r="H2217" s="3" t="s">
        <v>18</v>
      </c>
      <c r="I2217" s="3" t="s">
        <v>180</v>
      </c>
      <c r="J2217" s="3" t="s">
        <v>181</v>
      </c>
      <c r="K2217" s="3" t="s">
        <v>1666</v>
      </c>
      <c r="L2217" s="4">
        <v>0.33333333333333331</v>
      </c>
      <c r="M2217" s="3" t="s">
        <v>182</v>
      </c>
      <c r="N2217" s="3" t="s">
        <v>24</v>
      </c>
      <c r="O2217" s="3" t="s">
        <v>25</v>
      </c>
    </row>
    <row r="2218" spans="1:15">
      <c r="A2218" s="3" t="s">
        <v>15</v>
      </c>
      <c r="B2218" s="3" t="str">
        <f>"FES1162742212"</f>
        <v>FES1162742212</v>
      </c>
      <c r="C2218" s="3" t="s">
        <v>1660</v>
      </c>
      <c r="D2218" s="3">
        <v>1</v>
      </c>
      <c r="E2218" s="3" t="str">
        <f>"2170733713"</f>
        <v>2170733713</v>
      </c>
      <c r="F2218" s="3" t="s">
        <v>17</v>
      </c>
      <c r="G2218" s="3" t="s">
        <v>18</v>
      </c>
      <c r="H2218" s="3" t="s">
        <v>19</v>
      </c>
      <c r="I2218" s="3" t="s">
        <v>20</v>
      </c>
      <c r="J2218" s="3" t="s">
        <v>56</v>
      </c>
      <c r="K2218" s="3" t="s">
        <v>1666</v>
      </c>
      <c r="L2218" s="4">
        <v>0.38194444444444442</v>
      </c>
      <c r="M2218" s="3" t="s">
        <v>57</v>
      </c>
      <c r="N2218" s="3" t="s">
        <v>24</v>
      </c>
      <c r="O2218" s="3" t="s">
        <v>25</v>
      </c>
    </row>
    <row r="2219" spans="1:15">
      <c r="A2219" s="3" t="s">
        <v>15</v>
      </c>
      <c r="B2219" s="3" t="str">
        <f>"FES1162742223"</f>
        <v>FES1162742223</v>
      </c>
      <c r="C2219" s="3" t="s">
        <v>1660</v>
      </c>
      <c r="D2219" s="3">
        <v>1</v>
      </c>
      <c r="E2219" s="3" t="str">
        <f>"2170733728"</f>
        <v>2170733728</v>
      </c>
      <c r="F2219" s="3" t="s">
        <v>17</v>
      </c>
      <c r="G2219" s="3" t="s">
        <v>18</v>
      </c>
      <c r="H2219" s="3" t="s">
        <v>19</v>
      </c>
      <c r="I2219" s="3" t="s">
        <v>51</v>
      </c>
      <c r="J2219" s="3" t="s">
        <v>429</v>
      </c>
      <c r="K2219" s="3" t="s">
        <v>1666</v>
      </c>
      <c r="L2219" s="4">
        <v>0.40833333333333338</v>
      </c>
      <c r="M2219" s="3" t="s">
        <v>982</v>
      </c>
      <c r="N2219" s="3" t="s">
        <v>24</v>
      </c>
      <c r="O2219" s="3" t="s">
        <v>25</v>
      </c>
    </row>
    <row r="2220" spans="1:15">
      <c r="A2220" s="5" t="s">
        <v>15</v>
      </c>
      <c r="B2220" s="5" t="str">
        <f>"FES1162741807"</f>
        <v>FES1162741807</v>
      </c>
      <c r="C2220" s="5" t="s">
        <v>1660</v>
      </c>
      <c r="D2220" s="5">
        <v>1</v>
      </c>
      <c r="E2220" s="5" t="str">
        <f>"2170733324"</f>
        <v>2170733324</v>
      </c>
      <c r="F2220" s="5" t="s">
        <v>17</v>
      </c>
      <c r="G2220" s="5" t="s">
        <v>18</v>
      </c>
      <c r="H2220" s="5" t="s">
        <v>36</v>
      </c>
      <c r="I2220" s="5" t="s">
        <v>37</v>
      </c>
      <c r="J2220" s="5" t="s">
        <v>260</v>
      </c>
      <c r="K2220" s="5" t="s">
        <v>1666</v>
      </c>
      <c r="L2220" s="6">
        <v>0.39513888888888887</v>
      </c>
      <c r="M2220" s="5" t="s">
        <v>379</v>
      </c>
      <c r="N2220" s="5" t="s">
        <v>24</v>
      </c>
      <c r="O2220" s="5" t="s">
        <v>25</v>
      </c>
    </row>
    <row r="2221" spans="1:15">
      <c r="A2221" s="5" t="s">
        <v>15</v>
      </c>
      <c r="B2221" s="5" t="str">
        <f>"FES1162742222"</f>
        <v>FES1162742222</v>
      </c>
      <c r="C2221" s="5" t="s">
        <v>1660</v>
      </c>
      <c r="D2221" s="5">
        <v>1</v>
      </c>
      <c r="E2221" s="5" t="str">
        <f>"2170733727"</f>
        <v>2170733727</v>
      </c>
      <c r="F2221" s="5" t="s">
        <v>17</v>
      </c>
      <c r="G2221" s="5" t="s">
        <v>18</v>
      </c>
      <c r="H2221" s="5" t="s">
        <v>19</v>
      </c>
      <c r="I2221" s="5" t="s">
        <v>51</v>
      </c>
      <c r="J2221" s="5" t="s">
        <v>129</v>
      </c>
      <c r="K2221" s="5" t="s">
        <v>1666</v>
      </c>
      <c r="L2221" s="6">
        <v>0.42638888888888887</v>
      </c>
      <c r="M2221" s="5" t="s">
        <v>1642</v>
      </c>
      <c r="N2221" s="5" t="s">
        <v>24</v>
      </c>
      <c r="O2221" s="5" t="s">
        <v>25</v>
      </c>
    </row>
    <row r="2222" spans="1:15">
      <c r="A2222" s="5" t="s">
        <v>15</v>
      </c>
      <c r="B2222" s="5" t="str">
        <f>"FES1162741847"</f>
        <v>FES1162741847</v>
      </c>
      <c r="C2222" s="5" t="s">
        <v>1660</v>
      </c>
      <c r="D2222" s="5">
        <v>1</v>
      </c>
      <c r="E2222" s="5" t="str">
        <f>"2170733276"</f>
        <v>2170733276</v>
      </c>
      <c r="F2222" s="5" t="s">
        <v>17</v>
      </c>
      <c r="G2222" s="5" t="s">
        <v>18</v>
      </c>
      <c r="H2222" s="5" t="s">
        <v>46</v>
      </c>
      <c r="I2222" s="5" t="s">
        <v>47</v>
      </c>
      <c r="J2222" s="5" t="s">
        <v>839</v>
      </c>
      <c r="K2222" s="5" t="s">
        <v>1666</v>
      </c>
      <c r="L2222" s="6">
        <v>0.40486111111111112</v>
      </c>
      <c r="M2222" s="5" t="s">
        <v>1837</v>
      </c>
      <c r="N2222" s="5" t="s">
        <v>24</v>
      </c>
      <c r="O2222" s="5" t="s">
        <v>25</v>
      </c>
    </row>
    <row r="2223" spans="1:15">
      <c r="A2223" s="5" t="s">
        <v>15</v>
      </c>
      <c r="B2223" s="5" t="str">
        <f>"FES1162742254"</f>
        <v>FES1162742254</v>
      </c>
      <c r="C2223" s="5" t="s">
        <v>1660</v>
      </c>
      <c r="D2223" s="5">
        <v>1</v>
      </c>
      <c r="E2223" s="5" t="str">
        <f>"21707336126"</f>
        <v>21707336126</v>
      </c>
      <c r="F2223" s="5" t="s">
        <v>17</v>
      </c>
      <c r="G2223" s="5" t="s">
        <v>18</v>
      </c>
      <c r="H2223" s="5" t="s">
        <v>36</v>
      </c>
      <c r="I2223" s="5" t="s">
        <v>37</v>
      </c>
      <c r="J2223" s="5" t="s">
        <v>260</v>
      </c>
      <c r="K2223" s="5" t="s">
        <v>1666</v>
      </c>
      <c r="L2223" s="6">
        <v>0.39513888888888887</v>
      </c>
      <c r="M2223" s="5" t="s">
        <v>379</v>
      </c>
      <c r="N2223" s="5" t="s">
        <v>24</v>
      </c>
      <c r="O2223" s="5" t="s">
        <v>25</v>
      </c>
    </row>
    <row r="2224" spans="1:15">
      <c r="A2224" s="5" t="s">
        <v>15</v>
      </c>
      <c r="B2224" s="5" t="str">
        <f>"FES1162742262"</f>
        <v>FES1162742262</v>
      </c>
      <c r="C2224" s="5" t="s">
        <v>1660</v>
      </c>
      <c r="D2224" s="5">
        <v>2</v>
      </c>
      <c r="E2224" s="5" t="str">
        <f>"2170733616"</f>
        <v>2170733616</v>
      </c>
      <c r="F2224" s="5" t="s">
        <v>528</v>
      </c>
      <c r="G2224" s="5" t="s">
        <v>948</v>
      </c>
      <c r="H2224" s="5" t="s">
        <v>36</v>
      </c>
      <c r="I2224" s="5" t="s">
        <v>37</v>
      </c>
      <c r="J2224" s="5" t="s">
        <v>260</v>
      </c>
      <c r="K2224" s="5" t="s">
        <v>1666</v>
      </c>
      <c r="L2224" s="6">
        <v>0.39513888888888887</v>
      </c>
      <c r="M2224" s="5" t="s">
        <v>1838</v>
      </c>
      <c r="N2224" s="5" t="s">
        <v>24</v>
      </c>
      <c r="O2224" s="5" t="s">
        <v>25</v>
      </c>
    </row>
    <row r="2225" spans="1:15">
      <c r="A2225" s="5" t="s">
        <v>15</v>
      </c>
      <c r="B2225" s="5" t="str">
        <f>"FES1162742231"</f>
        <v>FES1162742231</v>
      </c>
      <c r="C2225" s="5" t="s">
        <v>1660</v>
      </c>
      <c r="D2225" s="5">
        <v>1</v>
      </c>
      <c r="E2225" s="5" t="str">
        <f>"2170733740"</f>
        <v>2170733740</v>
      </c>
      <c r="F2225" s="5" t="s">
        <v>17</v>
      </c>
      <c r="G2225" s="5" t="s">
        <v>18</v>
      </c>
      <c r="H2225" s="5" t="s">
        <v>18</v>
      </c>
      <c r="I2225" s="5" t="s">
        <v>163</v>
      </c>
      <c r="J2225" s="5" t="s">
        <v>1839</v>
      </c>
      <c r="K2225" s="5" t="s">
        <v>1666</v>
      </c>
      <c r="L2225" s="6">
        <v>0.33333333333333331</v>
      </c>
      <c r="M2225" s="5" t="s">
        <v>1840</v>
      </c>
      <c r="N2225" s="5" t="s">
        <v>24</v>
      </c>
      <c r="O2225" s="5" t="s">
        <v>25</v>
      </c>
    </row>
    <row r="2226" spans="1:15">
      <c r="A2226" s="5" t="s">
        <v>15</v>
      </c>
      <c r="B2226" s="5" t="str">
        <f>"FES1162741842"</f>
        <v>FES1162741842</v>
      </c>
      <c r="C2226" s="5" t="s">
        <v>1660</v>
      </c>
      <c r="D2226" s="5">
        <v>1</v>
      </c>
      <c r="E2226" s="5" t="str">
        <f>"2170733356"</f>
        <v>2170733356</v>
      </c>
      <c r="F2226" s="5" t="s">
        <v>17</v>
      </c>
      <c r="G2226" s="5" t="s">
        <v>18</v>
      </c>
      <c r="H2226" s="5" t="s">
        <v>36</v>
      </c>
      <c r="I2226" s="5" t="s">
        <v>37</v>
      </c>
      <c r="J2226" s="5" t="s">
        <v>54</v>
      </c>
      <c r="K2226" s="5" t="s">
        <v>1666</v>
      </c>
      <c r="L2226" s="6">
        <v>0.41666666666666669</v>
      </c>
      <c r="M2226" s="5" t="s">
        <v>55</v>
      </c>
      <c r="N2226" s="5" t="s">
        <v>24</v>
      </c>
      <c r="O2226" s="5" t="s">
        <v>25</v>
      </c>
    </row>
    <row r="2227" spans="1:15">
      <c r="A2227" s="5" t="s">
        <v>15</v>
      </c>
      <c r="B2227" s="5" t="str">
        <f>"FES1162742186"</f>
        <v>FES1162742186</v>
      </c>
      <c r="C2227" s="5" t="s">
        <v>1660</v>
      </c>
      <c r="D2227" s="5">
        <v>1</v>
      </c>
      <c r="E2227" s="5" t="str">
        <f>"2170733678"</f>
        <v>2170733678</v>
      </c>
      <c r="F2227" s="5" t="s">
        <v>17</v>
      </c>
      <c r="G2227" s="5" t="s">
        <v>18</v>
      </c>
      <c r="H2227" s="5" t="s">
        <v>19</v>
      </c>
      <c r="I2227" s="5" t="s">
        <v>445</v>
      </c>
      <c r="J2227" s="5" t="s">
        <v>446</v>
      </c>
      <c r="K2227" s="5" t="s">
        <v>1666</v>
      </c>
      <c r="L2227" s="6">
        <v>0.4375</v>
      </c>
      <c r="M2227" s="5" t="s">
        <v>1777</v>
      </c>
      <c r="N2227" s="5" t="s">
        <v>24</v>
      </c>
      <c r="O2227" s="5" t="s">
        <v>25</v>
      </c>
    </row>
    <row r="2228" spans="1:15">
      <c r="A2228" s="3" t="s">
        <v>15</v>
      </c>
      <c r="B2228" s="3" t="str">
        <f>"FES1162741651"</f>
        <v>FES1162741651</v>
      </c>
      <c r="C2228" s="3" t="s">
        <v>1660</v>
      </c>
      <c r="D2228" s="3">
        <v>1</v>
      </c>
      <c r="E2228" s="3" t="str">
        <f>"2170733187"</f>
        <v>2170733187</v>
      </c>
      <c r="F2228" s="3" t="s">
        <v>17</v>
      </c>
      <c r="G2228" s="3" t="s">
        <v>18</v>
      </c>
      <c r="H2228" s="3" t="s">
        <v>886</v>
      </c>
      <c r="I2228" s="3" t="s">
        <v>887</v>
      </c>
      <c r="J2228" s="3" t="s">
        <v>888</v>
      </c>
      <c r="K2228" s="3" t="s">
        <v>1666</v>
      </c>
      <c r="L2228" s="4">
        <v>0.45833333333333331</v>
      </c>
      <c r="M2228" s="3" t="s">
        <v>1841</v>
      </c>
      <c r="N2228" s="3" t="s">
        <v>24</v>
      </c>
      <c r="O2228" s="3" t="s">
        <v>25</v>
      </c>
    </row>
    <row r="2229" spans="1:15">
      <c r="A2229" s="3" t="s">
        <v>15</v>
      </c>
      <c r="B2229" s="3" t="str">
        <f>"FES1162742257"</f>
        <v>FES1162742257</v>
      </c>
      <c r="C2229" s="3" t="s">
        <v>1660</v>
      </c>
      <c r="D2229" s="3">
        <v>1</v>
      </c>
      <c r="E2229" s="3" t="str">
        <f>"2170733762"</f>
        <v>2170733762</v>
      </c>
      <c r="F2229" s="3" t="s">
        <v>17</v>
      </c>
      <c r="G2229" s="3" t="s">
        <v>18</v>
      </c>
      <c r="H2229" s="3" t="s">
        <v>70</v>
      </c>
      <c r="I2229" s="3" t="s">
        <v>71</v>
      </c>
      <c r="J2229" s="3" t="s">
        <v>441</v>
      </c>
      <c r="K2229" s="3" t="s">
        <v>1666</v>
      </c>
      <c r="L2229" s="4">
        <v>0.48958333333333331</v>
      </c>
      <c r="M2229" s="3" t="s">
        <v>1842</v>
      </c>
      <c r="N2229" s="3" t="s">
        <v>24</v>
      </c>
      <c r="O2229" s="3" t="s">
        <v>25</v>
      </c>
    </row>
    <row r="2230" spans="1:15">
      <c r="A2230" s="3" t="s">
        <v>15</v>
      </c>
      <c r="B2230" s="3" t="str">
        <f>"FES1162742241"</f>
        <v>FES1162742241</v>
      </c>
      <c r="C2230" s="3" t="s">
        <v>1660</v>
      </c>
      <c r="D2230" s="3">
        <v>1</v>
      </c>
      <c r="E2230" s="3" t="str">
        <f>"2170733750"</f>
        <v>2170733750</v>
      </c>
      <c r="F2230" s="3" t="s">
        <v>17</v>
      </c>
      <c r="G2230" s="3" t="s">
        <v>18</v>
      </c>
      <c r="H2230" s="3" t="s">
        <v>18</v>
      </c>
      <c r="I2230" s="3" t="s">
        <v>33</v>
      </c>
      <c r="J2230" s="3" t="s">
        <v>966</v>
      </c>
      <c r="K2230" s="3" t="s">
        <v>1666</v>
      </c>
      <c r="L2230" s="4">
        <v>0.43611111111111112</v>
      </c>
      <c r="M2230" s="3" t="s">
        <v>967</v>
      </c>
      <c r="N2230" s="3" t="s">
        <v>24</v>
      </c>
      <c r="O2230" s="3" t="s">
        <v>25</v>
      </c>
    </row>
    <row r="2231" spans="1:15">
      <c r="A2231" s="3" t="s">
        <v>15</v>
      </c>
      <c r="B2231" s="3" t="str">
        <f>"FES1162742266"</f>
        <v>FES1162742266</v>
      </c>
      <c r="C2231" s="3" t="s">
        <v>1660</v>
      </c>
      <c r="D2231" s="3">
        <v>1</v>
      </c>
      <c r="E2231" s="3" t="str">
        <f>"2170733775"</f>
        <v>2170733775</v>
      </c>
      <c r="F2231" s="3" t="s">
        <v>17</v>
      </c>
      <c r="G2231" s="3" t="s">
        <v>18</v>
      </c>
      <c r="H2231" s="3" t="s">
        <v>36</v>
      </c>
      <c r="I2231" s="3" t="s">
        <v>330</v>
      </c>
      <c r="J2231" s="3" t="s">
        <v>331</v>
      </c>
      <c r="K2231" s="3" t="s">
        <v>1666</v>
      </c>
      <c r="L2231" s="4">
        <v>0.42430555555555555</v>
      </c>
      <c r="M2231" s="3" t="s">
        <v>332</v>
      </c>
      <c r="N2231" s="3" t="s">
        <v>24</v>
      </c>
      <c r="O2231" s="3" t="s">
        <v>25</v>
      </c>
    </row>
    <row r="2232" spans="1:15">
      <c r="A2232" s="3" t="s">
        <v>15</v>
      </c>
      <c r="B2232" s="3" t="str">
        <f>"FES1162742265"</f>
        <v>FES1162742265</v>
      </c>
      <c r="C2232" s="3" t="s">
        <v>1660</v>
      </c>
      <c r="D2232" s="3">
        <v>1</v>
      </c>
      <c r="E2232" s="3" t="str">
        <f>"2170733774"</f>
        <v>2170733774</v>
      </c>
      <c r="F2232" s="3" t="s">
        <v>17</v>
      </c>
      <c r="G2232" s="3" t="s">
        <v>18</v>
      </c>
      <c r="H2232" s="3" t="s">
        <v>70</v>
      </c>
      <c r="I2232" s="3" t="s">
        <v>931</v>
      </c>
      <c r="J2232" s="3" t="s">
        <v>1569</v>
      </c>
      <c r="K2232" s="3" t="s">
        <v>1666</v>
      </c>
      <c r="L2232" s="4">
        <v>0.4694444444444445</v>
      </c>
      <c r="M2232" s="3" t="s">
        <v>1570</v>
      </c>
      <c r="N2232" s="3" t="s">
        <v>24</v>
      </c>
      <c r="O2232" s="3" t="s">
        <v>25</v>
      </c>
    </row>
    <row r="2233" spans="1:15">
      <c r="A2233" s="3" t="s">
        <v>15</v>
      </c>
      <c r="B2233" s="3" t="str">
        <f>"FES1162742275"</f>
        <v>FES1162742275</v>
      </c>
      <c r="C2233" s="3" t="s">
        <v>1660</v>
      </c>
      <c r="D2233" s="3">
        <v>1</v>
      </c>
      <c r="E2233" s="3" t="str">
        <f>"2170733784"</f>
        <v>2170733784</v>
      </c>
      <c r="F2233" s="3" t="s">
        <v>17</v>
      </c>
      <c r="G2233" s="3" t="s">
        <v>18</v>
      </c>
      <c r="H2233" s="3" t="s">
        <v>18</v>
      </c>
      <c r="I2233" s="3" t="s">
        <v>29</v>
      </c>
      <c r="J2233" s="3" t="s">
        <v>307</v>
      </c>
      <c r="K2233" s="3" t="s">
        <v>1666</v>
      </c>
      <c r="L2233" s="4">
        <v>0.34027777777777773</v>
      </c>
      <c r="M2233" s="3" t="s">
        <v>1102</v>
      </c>
      <c r="N2233" s="3" t="s">
        <v>24</v>
      </c>
      <c r="O2233" s="3" t="s">
        <v>25</v>
      </c>
    </row>
    <row r="2234" spans="1:15">
      <c r="A2234" s="3" t="s">
        <v>15</v>
      </c>
      <c r="B2234" s="3" t="str">
        <f>"FES1162742087"</f>
        <v>FES1162742087</v>
      </c>
      <c r="C2234" s="3" t="s">
        <v>1660</v>
      </c>
      <c r="D2234" s="3">
        <v>1</v>
      </c>
      <c r="E2234" s="3" t="str">
        <f>"2170733454"</f>
        <v>2170733454</v>
      </c>
      <c r="F2234" s="3" t="s">
        <v>17</v>
      </c>
      <c r="G2234" s="3" t="s">
        <v>18</v>
      </c>
      <c r="H2234" s="3" t="s">
        <v>18</v>
      </c>
      <c r="I2234" s="3" t="s">
        <v>168</v>
      </c>
      <c r="J2234" s="3" t="s">
        <v>169</v>
      </c>
      <c r="K2234" s="3" t="s">
        <v>1666</v>
      </c>
      <c r="L2234" s="4">
        <v>0.40069444444444446</v>
      </c>
      <c r="M2234" s="3" t="s">
        <v>170</v>
      </c>
      <c r="N2234" s="3" t="s">
        <v>24</v>
      </c>
      <c r="O2234" s="3" t="s">
        <v>25</v>
      </c>
    </row>
    <row r="2235" spans="1:15">
      <c r="A2235" s="3" t="s">
        <v>15</v>
      </c>
      <c r="B2235" s="3" t="str">
        <f>"FES1162742249"</f>
        <v>FES1162742249</v>
      </c>
      <c r="C2235" s="3" t="s">
        <v>1660</v>
      </c>
      <c r="D2235" s="3">
        <v>1</v>
      </c>
      <c r="E2235" s="3" t="str">
        <f>"2170733363"</f>
        <v>2170733363</v>
      </c>
      <c r="F2235" s="3" t="s">
        <v>17</v>
      </c>
      <c r="G2235" s="3" t="s">
        <v>18</v>
      </c>
      <c r="H2235" s="3" t="s">
        <v>18</v>
      </c>
      <c r="I2235" s="3" t="s">
        <v>29</v>
      </c>
      <c r="J2235" s="3" t="s">
        <v>74</v>
      </c>
      <c r="K2235" s="3" t="s">
        <v>1666</v>
      </c>
      <c r="L2235" s="4">
        <v>0.39305555555555555</v>
      </c>
      <c r="M2235" s="3" t="s">
        <v>75</v>
      </c>
      <c r="N2235" s="3" t="s">
        <v>24</v>
      </c>
      <c r="O2235" s="3" t="s">
        <v>25</v>
      </c>
    </row>
    <row r="2236" spans="1:15">
      <c r="A2236" s="3" t="s">
        <v>15</v>
      </c>
      <c r="B2236" s="3" t="str">
        <f>"FES1162742279"</f>
        <v>FES1162742279</v>
      </c>
      <c r="C2236" s="3" t="s">
        <v>1660</v>
      </c>
      <c r="D2236" s="3">
        <v>1</v>
      </c>
      <c r="E2236" s="3" t="str">
        <f>"2170733616"</f>
        <v>2170733616</v>
      </c>
      <c r="F2236" s="3" t="s">
        <v>17</v>
      </c>
      <c r="G2236" s="3" t="s">
        <v>18</v>
      </c>
      <c r="H2236" s="3" t="s">
        <v>36</v>
      </c>
      <c r="I2236" s="3" t="s">
        <v>37</v>
      </c>
      <c r="J2236" s="3" t="s">
        <v>260</v>
      </c>
      <c r="K2236" s="3" t="s">
        <v>1666</v>
      </c>
      <c r="L2236" s="4">
        <v>0.39513888888888887</v>
      </c>
      <c r="M2236" s="3" t="s">
        <v>379</v>
      </c>
      <c r="N2236" s="3" t="s">
        <v>24</v>
      </c>
      <c r="O2236" s="3" t="s">
        <v>25</v>
      </c>
    </row>
    <row r="2237" spans="1:15">
      <c r="A2237" s="3" t="s">
        <v>15</v>
      </c>
      <c r="B2237" s="3" t="str">
        <f>"FES1162742283"</f>
        <v>FES1162742283</v>
      </c>
      <c r="C2237" s="3" t="s">
        <v>1660</v>
      </c>
      <c r="D2237" s="3">
        <v>1</v>
      </c>
      <c r="E2237" s="3" t="str">
        <f>"2170733791"</f>
        <v>2170733791</v>
      </c>
      <c r="F2237" s="3" t="s">
        <v>17</v>
      </c>
      <c r="G2237" s="3" t="s">
        <v>18</v>
      </c>
      <c r="H2237" s="3" t="s">
        <v>18</v>
      </c>
      <c r="I2237" s="3" t="s">
        <v>151</v>
      </c>
      <c r="J2237" s="3" t="s">
        <v>1843</v>
      </c>
      <c r="K2237" s="3" t="s">
        <v>1666</v>
      </c>
      <c r="L2237" s="4">
        <v>0.33333333333333331</v>
      </c>
      <c r="M2237" s="3" t="s">
        <v>1769</v>
      </c>
      <c r="N2237" s="3" t="s">
        <v>24</v>
      </c>
      <c r="O2237" s="3" t="s">
        <v>25</v>
      </c>
    </row>
    <row r="2238" spans="1:15">
      <c r="A2238" s="3" t="s">
        <v>15</v>
      </c>
      <c r="B2238" s="3" t="str">
        <f>"FES1162742271"</f>
        <v>FES1162742271</v>
      </c>
      <c r="C2238" s="3" t="s">
        <v>1660</v>
      </c>
      <c r="D2238" s="3">
        <v>1</v>
      </c>
      <c r="E2238" s="3" t="str">
        <f>"2170733150"</f>
        <v>2170733150</v>
      </c>
      <c r="F2238" s="3" t="s">
        <v>17</v>
      </c>
      <c r="G2238" s="3" t="s">
        <v>18</v>
      </c>
      <c r="H2238" s="3" t="s">
        <v>36</v>
      </c>
      <c r="I2238" s="3" t="s">
        <v>330</v>
      </c>
      <c r="J2238" s="3" t="s">
        <v>331</v>
      </c>
      <c r="K2238" s="3" t="s">
        <v>1666</v>
      </c>
      <c r="L2238" s="4">
        <v>0.42430555555555555</v>
      </c>
      <c r="M2238" s="3" t="s">
        <v>332</v>
      </c>
      <c r="N2238" s="3" t="s">
        <v>24</v>
      </c>
      <c r="O2238" s="3" t="s">
        <v>25</v>
      </c>
    </row>
    <row r="2239" spans="1:15">
      <c r="A2239" s="3" t="s">
        <v>15</v>
      </c>
      <c r="B2239" s="3" t="str">
        <f>"FES1162742281"</f>
        <v>FES1162742281</v>
      </c>
      <c r="C2239" s="3" t="s">
        <v>1660</v>
      </c>
      <c r="D2239" s="3">
        <v>1</v>
      </c>
      <c r="E2239" s="3" t="str">
        <f>"2170733788"</f>
        <v>2170733788</v>
      </c>
      <c r="F2239" s="3" t="s">
        <v>17</v>
      </c>
      <c r="G2239" s="3" t="s">
        <v>18</v>
      </c>
      <c r="H2239" s="3" t="s">
        <v>100</v>
      </c>
      <c r="I2239" s="3" t="s">
        <v>101</v>
      </c>
      <c r="J2239" s="3" t="s">
        <v>265</v>
      </c>
      <c r="K2239" s="3" t="s">
        <v>1666</v>
      </c>
      <c r="L2239" s="4">
        <v>0.30486111111111108</v>
      </c>
      <c r="M2239" s="3" t="s">
        <v>1770</v>
      </c>
      <c r="N2239" s="3" t="s">
        <v>24</v>
      </c>
      <c r="O2239" s="3" t="s">
        <v>25</v>
      </c>
    </row>
    <row r="2240" spans="1:15">
      <c r="A2240" s="3" t="s">
        <v>15</v>
      </c>
      <c r="B2240" s="3" t="str">
        <f>"FES1162742207"</f>
        <v>FES1162742207</v>
      </c>
      <c r="C2240" s="3" t="s">
        <v>1660</v>
      </c>
      <c r="D2240" s="3">
        <v>1</v>
      </c>
      <c r="E2240" s="3" t="str">
        <f>"2170733692"</f>
        <v>2170733692</v>
      </c>
      <c r="F2240" s="3" t="s">
        <v>17</v>
      </c>
      <c r="G2240" s="3" t="s">
        <v>18</v>
      </c>
      <c r="H2240" s="3" t="s">
        <v>19</v>
      </c>
      <c r="I2240" s="3" t="s">
        <v>236</v>
      </c>
      <c r="J2240" s="3" t="s">
        <v>237</v>
      </c>
      <c r="K2240" s="3" t="s">
        <v>1666</v>
      </c>
      <c r="L2240" s="4">
        <v>0.35347222222222219</v>
      </c>
      <c r="M2240" s="3" t="s">
        <v>200</v>
      </c>
      <c r="N2240" s="3" t="s">
        <v>24</v>
      </c>
      <c r="O2240" s="3" t="s">
        <v>25</v>
      </c>
    </row>
    <row r="2241" spans="1:15">
      <c r="A2241" s="3" t="s">
        <v>15</v>
      </c>
      <c r="B2241" s="3" t="str">
        <f>"FES1162742431"</f>
        <v>FES1162742431</v>
      </c>
      <c r="C2241" s="3" t="s">
        <v>1666</v>
      </c>
      <c r="D2241" s="3">
        <v>1</v>
      </c>
      <c r="E2241" s="3" t="str">
        <f>"2170733946"</f>
        <v>2170733946</v>
      </c>
      <c r="F2241" s="3" t="s">
        <v>17</v>
      </c>
      <c r="G2241" s="3" t="s">
        <v>18</v>
      </c>
      <c r="H2241" s="3" t="s">
        <v>18</v>
      </c>
      <c r="I2241" s="3" t="s">
        <v>29</v>
      </c>
      <c r="J2241" s="3" t="s">
        <v>1844</v>
      </c>
      <c r="K2241" s="3" t="s">
        <v>1845</v>
      </c>
      <c r="L2241" s="4">
        <v>0.3888888888888889</v>
      </c>
      <c r="M2241" s="3" t="s">
        <v>466</v>
      </c>
      <c r="N2241" s="3" t="s">
        <v>24</v>
      </c>
      <c r="O2241" s="3" t="s">
        <v>25</v>
      </c>
    </row>
    <row r="2242" spans="1:15">
      <c r="A2242" s="3" t="s">
        <v>15</v>
      </c>
      <c r="B2242" s="3" t="str">
        <f>"080002563416"</f>
        <v>080002563416</v>
      </c>
      <c r="C2242" s="3" t="s">
        <v>1666</v>
      </c>
      <c r="D2242" s="3">
        <v>1</v>
      </c>
      <c r="E2242" s="3" t="str">
        <f>"ZA1000895351"</f>
        <v>ZA1000895351</v>
      </c>
      <c r="F2242" s="3" t="s">
        <v>17</v>
      </c>
      <c r="G2242" s="3" t="s">
        <v>100</v>
      </c>
      <c r="H2242" s="3" t="s">
        <v>948</v>
      </c>
      <c r="I2242" s="3" t="s">
        <v>29</v>
      </c>
      <c r="J2242" s="3" t="s">
        <v>529</v>
      </c>
      <c r="K2242" s="3" t="s">
        <v>1845</v>
      </c>
      <c r="L2242" s="4">
        <v>0.3888888888888889</v>
      </c>
      <c r="M2242" s="3" t="s">
        <v>777</v>
      </c>
      <c r="N2242" s="3" t="s">
        <v>24</v>
      </c>
      <c r="O2242" s="3" t="s">
        <v>25</v>
      </c>
    </row>
    <row r="2243" spans="1:15">
      <c r="A2243" s="3" t="s">
        <v>15</v>
      </c>
      <c r="B2243" s="3" t="str">
        <f>"009939752483"</f>
        <v>009939752483</v>
      </c>
      <c r="C2243" s="3" t="s">
        <v>1666</v>
      </c>
      <c r="D2243" s="3">
        <v>1</v>
      </c>
      <c r="E2243" s="3" t="str">
        <f>""</f>
        <v/>
      </c>
      <c r="F2243" s="3" t="s">
        <v>528</v>
      </c>
      <c r="G2243" s="3" t="s">
        <v>70</v>
      </c>
      <c r="H2243" s="3" t="s">
        <v>948</v>
      </c>
      <c r="I2243" s="3" t="s">
        <v>29</v>
      </c>
      <c r="J2243" s="3" t="s">
        <v>529</v>
      </c>
      <c r="K2243" s="3" t="s">
        <v>1845</v>
      </c>
      <c r="L2243" s="4">
        <v>0.33194444444444443</v>
      </c>
      <c r="M2243" s="3" t="s">
        <v>31</v>
      </c>
      <c r="N2243" s="3" t="s">
        <v>24</v>
      </c>
      <c r="O2243" s="3" t="s">
        <v>25</v>
      </c>
    </row>
    <row r="2244" spans="1:15">
      <c r="A2244" s="3" t="s">
        <v>15</v>
      </c>
      <c r="B2244" s="3" t="str">
        <f>"FES1162742306"</f>
        <v>FES1162742306</v>
      </c>
      <c r="C2244" s="3" t="s">
        <v>1666</v>
      </c>
      <c r="D2244" s="3">
        <v>1</v>
      </c>
      <c r="E2244" s="3" t="str">
        <f>"2170733814"</f>
        <v>2170733814</v>
      </c>
      <c r="F2244" s="3" t="s">
        <v>17</v>
      </c>
      <c r="G2244" s="3" t="s">
        <v>18</v>
      </c>
      <c r="H2244" s="3" t="s">
        <v>18</v>
      </c>
      <c r="I2244" s="3" t="s">
        <v>580</v>
      </c>
      <c r="J2244" s="3" t="s">
        <v>1453</v>
      </c>
      <c r="K2244" s="3" t="s">
        <v>1845</v>
      </c>
      <c r="L2244" s="4">
        <v>0.43055555555555558</v>
      </c>
      <c r="M2244" s="3" t="s">
        <v>1846</v>
      </c>
      <c r="N2244" s="3" t="s">
        <v>24</v>
      </c>
      <c r="O2244" s="3" t="s">
        <v>25</v>
      </c>
    </row>
    <row r="2245" spans="1:15">
      <c r="A2245" s="3" t="s">
        <v>15</v>
      </c>
      <c r="B2245" s="3" t="str">
        <f>"FES1162742293"</f>
        <v>FES1162742293</v>
      </c>
      <c r="C2245" s="3" t="s">
        <v>1666</v>
      </c>
      <c r="D2245" s="3">
        <v>1</v>
      </c>
      <c r="E2245" s="3" t="str">
        <f>"2170732823"</f>
        <v>2170732823</v>
      </c>
      <c r="F2245" s="3" t="s">
        <v>17</v>
      </c>
      <c r="G2245" s="3" t="s">
        <v>18</v>
      </c>
      <c r="H2245" s="3" t="s">
        <v>36</v>
      </c>
      <c r="I2245" s="3" t="s">
        <v>37</v>
      </c>
      <c r="J2245" s="3" t="s">
        <v>505</v>
      </c>
      <c r="K2245" s="3" t="s">
        <v>1845</v>
      </c>
      <c r="L2245" s="4">
        <v>0.34027777777777773</v>
      </c>
      <c r="M2245" s="3" t="s">
        <v>1765</v>
      </c>
      <c r="N2245" s="3" t="s">
        <v>24</v>
      </c>
      <c r="O2245" s="3" t="s">
        <v>25</v>
      </c>
    </row>
    <row r="2246" spans="1:15">
      <c r="A2246" s="3" t="s">
        <v>15</v>
      </c>
      <c r="B2246" s="3" t="str">
        <f>"FES1162742335"</f>
        <v>FES1162742335</v>
      </c>
      <c r="C2246" s="3" t="s">
        <v>1666</v>
      </c>
      <c r="D2246" s="3">
        <v>1</v>
      </c>
      <c r="E2246" s="3" t="str">
        <f>"2170733851"</f>
        <v>2170733851</v>
      </c>
      <c r="F2246" s="3" t="s">
        <v>17</v>
      </c>
      <c r="G2246" s="3" t="s">
        <v>18</v>
      </c>
      <c r="H2246" s="3" t="s">
        <v>18</v>
      </c>
      <c r="I2246" s="3" t="s">
        <v>171</v>
      </c>
      <c r="J2246" s="3" t="s">
        <v>300</v>
      </c>
      <c r="K2246" s="3" t="s">
        <v>1845</v>
      </c>
      <c r="L2246" s="4">
        <v>0.32777777777777778</v>
      </c>
      <c r="M2246" s="3" t="s">
        <v>301</v>
      </c>
      <c r="N2246" s="3" t="s">
        <v>24</v>
      </c>
      <c r="O2246" s="3" t="s">
        <v>25</v>
      </c>
    </row>
    <row r="2247" spans="1:15">
      <c r="A2247" s="5" t="s">
        <v>15</v>
      </c>
      <c r="B2247" s="5" t="str">
        <f>"FES1162742385"</f>
        <v>FES1162742385</v>
      </c>
      <c r="C2247" s="5" t="s">
        <v>1666</v>
      </c>
      <c r="D2247" s="5">
        <v>1</v>
      </c>
      <c r="E2247" s="5" t="str">
        <f>"2170733885"</f>
        <v>2170733885</v>
      </c>
      <c r="F2247" s="5" t="s">
        <v>17</v>
      </c>
      <c r="G2247" s="5" t="s">
        <v>18</v>
      </c>
      <c r="H2247" s="5" t="s">
        <v>36</v>
      </c>
      <c r="I2247" s="5" t="s">
        <v>37</v>
      </c>
      <c r="J2247" s="5" t="s">
        <v>585</v>
      </c>
      <c r="K2247" s="5" t="s">
        <v>1845</v>
      </c>
      <c r="L2247" s="6">
        <v>0.40416666666666662</v>
      </c>
      <c r="M2247" s="5" t="s">
        <v>862</v>
      </c>
      <c r="N2247" s="5" t="s">
        <v>24</v>
      </c>
      <c r="O2247" s="5" t="s">
        <v>25</v>
      </c>
    </row>
    <row r="2248" spans="1:15">
      <c r="A2248" s="5" t="s">
        <v>15</v>
      </c>
      <c r="B2248" s="5" t="str">
        <f>"FES1162742396"</f>
        <v>FES1162742396</v>
      </c>
      <c r="C2248" s="5" t="s">
        <v>1666</v>
      </c>
      <c r="D2248" s="5">
        <v>1</v>
      </c>
      <c r="E2248" s="5" t="str">
        <f>"2170733538"</f>
        <v>2170733538</v>
      </c>
      <c r="F2248" s="5" t="s">
        <v>17</v>
      </c>
      <c r="G2248" s="5" t="s">
        <v>18</v>
      </c>
      <c r="H2248" s="5" t="s">
        <v>36</v>
      </c>
      <c r="I2248" s="5" t="s">
        <v>37</v>
      </c>
      <c r="J2248" s="5" t="s">
        <v>187</v>
      </c>
      <c r="K2248" s="5" t="s">
        <v>1845</v>
      </c>
      <c r="L2248" s="6">
        <v>0.33888888888888885</v>
      </c>
      <c r="M2248" s="5" t="s">
        <v>188</v>
      </c>
      <c r="N2248" s="5" t="s">
        <v>24</v>
      </c>
      <c r="O2248" s="5" t="s">
        <v>25</v>
      </c>
    </row>
    <row r="2249" spans="1:15">
      <c r="A2249" s="5" t="s">
        <v>15</v>
      </c>
      <c r="B2249" s="5" t="str">
        <f>"FES1162742320"</f>
        <v>FES1162742320</v>
      </c>
      <c r="C2249" s="5" t="s">
        <v>1666</v>
      </c>
      <c r="D2249" s="5">
        <v>1</v>
      </c>
      <c r="E2249" s="5" t="str">
        <f>"2170733832"</f>
        <v>2170733832</v>
      </c>
      <c r="F2249" s="5" t="s">
        <v>17</v>
      </c>
      <c r="G2249" s="5" t="s">
        <v>18</v>
      </c>
      <c r="H2249" s="5" t="s">
        <v>36</v>
      </c>
      <c r="I2249" s="5" t="s">
        <v>1145</v>
      </c>
      <c r="J2249" s="5" t="s">
        <v>1847</v>
      </c>
      <c r="K2249" s="5" t="s">
        <v>1845</v>
      </c>
      <c r="L2249" s="6">
        <v>0.33888888888888885</v>
      </c>
      <c r="M2249" s="5" t="s">
        <v>1848</v>
      </c>
      <c r="N2249" s="5" t="s">
        <v>24</v>
      </c>
      <c r="O2249" s="5" t="s">
        <v>1681</v>
      </c>
    </row>
    <row r="2250" spans="1:15">
      <c r="A2250" s="5" t="s">
        <v>15</v>
      </c>
      <c r="B2250" s="5" t="str">
        <f>"FES1162742381"</f>
        <v>FES1162742381</v>
      </c>
      <c r="C2250" s="5" t="s">
        <v>1666</v>
      </c>
      <c r="D2250" s="5">
        <v>1</v>
      </c>
      <c r="E2250" s="5" t="str">
        <f>"2170731842"</f>
        <v>2170731842</v>
      </c>
      <c r="F2250" s="5" t="s">
        <v>17</v>
      </c>
      <c r="G2250" s="5" t="s">
        <v>18</v>
      </c>
      <c r="H2250" s="5" t="s">
        <v>18</v>
      </c>
      <c r="I2250" s="5" t="s">
        <v>180</v>
      </c>
      <c r="J2250" s="5" t="s">
        <v>879</v>
      </c>
      <c r="K2250" s="5" t="s">
        <v>1845</v>
      </c>
      <c r="L2250" s="6">
        <v>0.39583333333333331</v>
      </c>
      <c r="M2250" s="5" t="s">
        <v>1849</v>
      </c>
      <c r="N2250" s="5" t="s">
        <v>24</v>
      </c>
      <c r="O2250" s="5" t="s">
        <v>25</v>
      </c>
    </row>
    <row r="2251" spans="1:15">
      <c r="A2251" s="5" t="s">
        <v>15</v>
      </c>
      <c r="B2251" s="5" t="str">
        <f>"FES1162742313"</f>
        <v>FES1162742313</v>
      </c>
      <c r="C2251" s="5" t="s">
        <v>1666</v>
      </c>
      <c r="D2251" s="5">
        <v>1</v>
      </c>
      <c r="E2251" s="5" t="str">
        <f>"2170733821"</f>
        <v>2170733821</v>
      </c>
      <c r="F2251" s="5" t="s">
        <v>17</v>
      </c>
      <c r="G2251" s="5" t="s">
        <v>18</v>
      </c>
      <c r="H2251" s="5" t="s">
        <v>46</v>
      </c>
      <c r="I2251" s="5" t="s">
        <v>47</v>
      </c>
      <c r="J2251" s="5" t="s">
        <v>241</v>
      </c>
      <c r="K2251" s="5" t="s">
        <v>1845</v>
      </c>
      <c r="L2251" s="6">
        <v>0.43402777777777773</v>
      </c>
      <c r="M2251" s="5" t="s">
        <v>1850</v>
      </c>
      <c r="N2251" s="5" t="s">
        <v>24</v>
      </c>
      <c r="O2251" s="5" t="s">
        <v>25</v>
      </c>
    </row>
    <row r="2252" spans="1:15">
      <c r="A2252" s="5" t="s">
        <v>15</v>
      </c>
      <c r="B2252" s="5" t="str">
        <f>"FES1162742380"</f>
        <v>FES1162742380</v>
      </c>
      <c r="C2252" s="5" t="s">
        <v>1666</v>
      </c>
      <c r="D2252" s="5">
        <v>1</v>
      </c>
      <c r="E2252" s="5" t="str">
        <f>"2170731840"</f>
        <v>2170731840</v>
      </c>
      <c r="F2252" s="5" t="s">
        <v>17</v>
      </c>
      <c r="G2252" s="5" t="s">
        <v>18</v>
      </c>
      <c r="H2252" s="5" t="s">
        <v>18</v>
      </c>
      <c r="I2252" s="5" t="s">
        <v>33</v>
      </c>
      <c r="J2252" s="5" t="s">
        <v>729</v>
      </c>
      <c r="K2252" s="5" t="s">
        <v>1845</v>
      </c>
      <c r="L2252" s="6">
        <v>0.33333333333333331</v>
      </c>
      <c r="M2252" s="5" t="s">
        <v>725</v>
      </c>
      <c r="N2252" s="5" t="s">
        <v>24</v>
      </c>
      <c r="O2252" s="5" t="s">
        <v>25</v>
      </c>
    </row>
    <row r="2253" spans="1:15">
      <c r="A2253" s="3" t="s">
        <v>15</v>
      </c>
      <c r="B2253" s="3" t="str">
        <f>"FES1162742346"</f>
        <v>FES1162742346</v>
      </c>
      <c r="C2253" s="3" t="s">
        <v>1666</v>
      </c>
      <c r="D2253" s="3">
        <v>1</v>
      </c>
      <c r="E2253" s="3" t="str">
        <f>"2170731009"</f>
        <v>2170731009</v>
      </c>
      <c r="F2253" s="3" t="s">
        <v>17</v>
      </c>
      <c r="G2253" s="3" t="s">
        <v>18</v>
      </c>
      <c r="H2253" s="3" t="s">
        <v>36</v>
      </c>
      <c r="I2253" s="3" t="s">
        <v>37</v>
      </c>
      <c r="J2253" s="3" t="s">
        <v>187</v>
      </c>
      <c r="K2253" s="3" t="s">
        <v>1845</v>
      </c>
      <c r="L2253" s="4">
        <v>0.33888888888888885</v>
      </c>
      <c r="M2253" s="3" t="s">
        <v>188</v>
      </c>
      <c r="N2253" s="3" t="s">
        <v>24</v>
      </c>
      <c r="O2253" s="3" t="s">
        <v>25</v>
      </c>
    </row>
    <row r="2254" spans="1:15">
      <c r="A2254" s="3" t="s">
        <v>15</v>
      </c>
      <c r="B2254" s="3" t="str">
        <f>"FES1162742311"</f>
        <v>FES1162742311</v>
      </c>
      <c r="C2254" s="3" t="s">
        <v>1666</v>
      </c>
      <c r="D2254" s="3">
        <v>1</v>
      </c>
      <c r="E2254" s="3" t="str">
        <f>"2170733819"</f>
        <v>2170733819</v>
      </c>
      <c r="F2254" s="3" t="s">
        <v>17</v>
      </c>
      <c r="G2254" s="3" t="s">
        <v>18</v>
      </c>
      <c r="H2254" s="3" t="s">
        <v>46</v>
      </c>
      <c r="I2254" s="3" t="s">
        <v>1851</v>
      </c>
      <c r="J2254" s="3" t="s">
        <v>1852</v>
      </c>
      <c r="K2254" s="3" t="s">
        <v>1845</v>
      </c>
      <c r="L2254" s="4">
        <v>0.43402777777777773</v>
      </c>
      <c r="M2254" s="3" t="s">
        <v>1853</v>
      </c>
      <c r="N2254" s="3" t="s">
        <v>24</v>
      </c>
      <c r="O2254" s="3" t="s">
        <v>25</v>
      </c>
    </row>
    <row r="2255" spans="1:15">
      <c r="A2255" s="3" t="s">
        <v>15</v>
      </c>
      <c r="B2255" s="3" t="str">
        <f>"FES1162742397"</f>
        <v>FES1162742397</v>
      </c>
      <c r="C2255" s="3" t="s">
        <v>1666</v>
      </c>
      <c r="D2255" s="3">
        <v>1</v>
      </c>
      <c r="E2255" s="3" t="str">
        <f>"2170733901"</f>
        <v>2170733901</v>
      </c>
      <c r="F2255" s="3" t="s">
        <v>17</v>
      </c>
      <c r="G2255" s="3" t="s">
        <v>18</v>
      </c>
      <c r="H2255" s="3" t="s">
        <v>18</v>
      </c>
      <c r="I2255" s="3" t="s">
        <v>33</v>
      </c>
      <c r="J2255" s="3" t="s">
        <v>1854</v>
      </c>
      <c r="K2255" s="3" t="s">
        <v>1845</v>
      </c>
      <c r="L2255" s="4">
        <v>0.29166666666666669</v>
      </c>
      <c r="M2255" s="3" t="s">
        <v>1855</v>
      </c>
      <c r="N2255" s="3" t="s">
        <v>24</v>
      </c>
      <c r="O2255" s="3" t="s">
        <v>25</v>
      </c>
    </row>
    <row r="2256" spans="1:15">
      <c r="A2256" s="3" t="s">
        <v>15</v>
      </c>
      <c r="B2256" s="3" t="str">
        <f>"FES1162742291"</f>
        <v>FES1162742291</v>
      </c>
      <c r="C2256" s="3" t="s">
        <v>1666</v>
      </c>
      <c r="D2256" s="3">
        <v>1</v>
      </c>
      <c r="E2256" s="3" t="str">
        <f>"2170732143"</f>
        <v>2170732143</v>
      </c>
      <c r="F2256" s="3" t="s">
        <v>17</v>
      </c>
      <c r="G2256" s="3" t="s">
        <v>18</v>
      </c>
      <c r="H2256" s="3" t="s">
        <v>46</v>
      </c>
      <c r="I2256" s="3" t="s">
        <v>47</v>
      </c>
      <c r="J2256" s="3" t="s">
        <v>48</v>
      </c>
      <c r="K2256" s="3" t="s">
        <v>1845</v>
      </c>
      <c r="L2256" s="4">
        <v>0.41805555555555557</v>
      </c>
      <c r="M2256" s="3" t="s">
        <v>1025</v>
      </c>
      <c r="N2256" s="3" t="s">
        <v>24</v>
      </c>
      <c r="O2256" s="3" t="s">
        <v>25</v>
      </c>
    </row>
    <row r="2257" spans="1:15">
      <c r="A2257" s="3" t="s">
        <v>15</v>
      </c>
      <c r="B2257" s="3" t="str">
        <f>"FES1162742288"</f>
        <v>FES1162742288</v>
      </c>
      <c r="C2257" s="3" t="s">
        <v>1666</v>
      </c>
      <c r="D2257" s="3">
        <v>1</v>
      </c>
      <c r="E2257" s="3" t="str">
        <f>"2170733800"</f>
        <v>2170733800</v>
      </c>
      <c r="F2257" s="3" t="s">
        <v>17</v>
      </c>
      <c r="G2257" s="3" t="s">
        <v>18</v>
      </c>
      <c r="H2257" s="3" t="s">
        <v>46</v>
      </c>
      <c r="I2257" s="3" t="s">
        <v>47</v>
      </c>
      <c r="J2257" s="3" t="s">
        <v>390</v>
      </c>
      <c r="K2257" s="3" t="s">
        <v>1845</v>
      </c>
      <c r="L2257" s="4">
        <v>0.43402777777777773</v>
      </c>
      <c r="M2257" s="3" t="s">
        <v>1856</v>
      </c>
      <c r="N2257" s="3" t="s">
        <v>24</v>
      </c>
      <c r="O2257" s="3" t="s">
        <v>25</v>
      </c>
    </row>
    <row r="2258" spans="1:15">
      <c r="A2258" s="3" t="s">
        <v>15</v>
      </c>
      <c r="B2258" s="3" t="str">
        <f>"FES1162742304"</f>
        <v>FES1162742304</v>
      </c>
      <c r="C2258" s="3" t="s">
        <v>1666</v>
      </c>
      <c r="D2258" s="3">
        <v>1</v>
      </c>
      <c r="E2258" s="3" t="str">
        <f>"2170733811"</f>
        <v>2170733811</v>
      </c>
      <c r="F2258" s="3" t="s">
        <v>17</v>
      </c>
      <c r="G2258" s="3" t="s">
        <v>18</v>
      </c>
      <c r="H2258" s="3" t="s">
        <v>46</v>
      </c>
      <c r="I2258" s="3" t="s">
        <v>47</v>
      </c>
      <c r="J2258" s="3" t="s">
        <v>1857</v>
      </c>
      <c r="K2258" s="3" t="s">
        <v>1845</v>
      </c>
      <c r="L2258" s="4">
        <v>0.43402777777777773</v>
      </c>
      <c r="M2258" s="3" t="s">
        <v>1858</v>
      </c>
      <c r="N2258" s="3" t="s">
        <v>24</v>
      </c>
      <c r="O2258" s="3" t="s">
        <v>25</v>
      </c>
    </row>
    <row r="2259" spans="1:15">
      <c r="A2259" s="3" t="s">
        <v>15</v>
      </c>
      <c r="B2259" s="3" t="str">
        <f>"FES1162742315"</f>
        <v>FES1162742315</v>
      </c>
      <c r="C2259" s="3" t="s">
        <v>1666</v>
      </c>
      <c r="D2259" s="3">
        <v>1</v>
      </c>
      <c r="E2259" s="3" t="str">
        <f>"2170733823"</f>
        <v>2170733823</v>
      </c>
      <c r="F2259" s="3" t="s">
        <v>17</v>
      </c>
      <c r="G2259" s="3" t="s">
        <v>18</v>
      </c>
      <c r="H2259" s="3" t="s">
        <v>46</v>
      </c>
      <c r="I2259" s="3" t="s">
        <v>47</v>
      </c>
      <c r="J2259" s="3" t="s">
        <v>241</v>
      </c>
      <c r="K2259" s="3" t="s">
        <v>1845</v>
      </c>
      <c r="L2259" s="4">
        <v>0.43402777777777773</v>
      </c>
      <c r="M2259" s="3" t="s">
        <v>1850</v>
      </c>
      <c r="N2259" s="3" t="s">
        <v>24</v>
      </c>
      <c r="O2259" s="3" t="s">
        <v>25</v>
      </c>
    </row>
    <row r="2260" spans="1:15">
      <c r="A2260" s="3" t="s">
        <v>15</v>
      </c>
      <c r="B2260" s="3" t="str">
        <f>"FES1162742392"</f>
        <v>FES1162742392</v>
      </c>
      <c r="C2260" s="3" t="s">
        <v>1666</v>
      </c>
      <c r="D2260" s="3">
        <v>1</v>
      </c>
      <c r="E2260" s="3" t="str">
        <f>"2170733906"</f>
        <v>2170733906</v>
      </c>
      <c r="F2260" s="3" t="s">
        <v>17</v>
      </c>
      <c r="G2260" s="3" t="s">
        <v>18</v>
      </c>
      <c r="H2260" s="3" t="s">
        <v>100</v>
      </c>
      <c r="I2260" s="3" t="s">
        <v>101</v>
      </c>
      <c r="J2260" s="3" t="s">
        <v>296</v>
      </c>
      <c r="K2260" s="3" t="s">
        <v>1845</v>
      </c>
      <c r="L2260" s="4">
        <v>0.42291666666666666</v>
      </c>
      <c r="M2260" s="3" t="s">
        <v>901</v>
      </c>
      <c r="N2260" s="3" t="s">
        <v>24</v>
      </c>
      <c r="O2260" s="3" t="s">
        <v>25</v>
      </c>
    </row>
    <row r="2261" spans="1:15">
      <c r="A2261" s="3" t="s">
        <v>15</v>
      </c>
      <c r="B2261" s="3" t="str">
        <f>"FES1162742303"</f>
        <v>FES1162742303</v>
      </c>
      <c r="C2261" s="3" t="s">
        <v>1666</v>
      </c>
      <c r="D2261" s="3">
        <v>1</v>
      </c>
      <c r="E2261" s="3" t="str">
        <f>"2170733810"</f>
        <v>2170733810</v>
      </c>
      <c r="F2261" s="3" t="s">
        <v>17</v>
      </c>
      <c r="G2261" s="3" t="s">
        <v>18</v>
      </c>
      <c r="H2261" s="3" t="s">
        <v>46</v>
      </c>
      <c r="I2261" s="3" t="s">
        <v>47</v>
      </c>
      <c r="J2261" s="3" t="s">
        <v>1857</v>
      </c>
      <c r="K2261" s="3" t="s">
        <v>1845</v>
      </c>
      <c r="L2261" s="4">
        <v>0.42222222222222222</v>
      </c>
      <c r="M2261" s="3" t="s">
        <v>1859</v>
      </c>
      <c r="N2261" s="3" t="s">
        <v>24</v>
      </c>
      <c r="O2261" s="3" t="s">
        <v>25</v>
      </c>
    </row>
    <row r="2262" spans="1:15">
      <c r="A2262" s="3" t="s">
        <v>15</v>
      </c>
      <c r="B2262" s="3" t="str">
        <f>"FES1162742405"</f>
        <v>FES1162742405</v>
      </c>
      <c r="C2262" s="3" t="s">
        <v>1666</v>
      </c>
      <c r="D2262" s="3">
        <v>1</v>
      </c>
      <c r="E2262" s="3" t="str">
        <f>"2170733922"</f>
        <v>2170733922</v>
      </c>
      <c r="F2262" s="3" t="s">
        <v>17</v>
      </c>
      <c r="G2262" s="3" t="s">
        <v>18</v>
      </c>
      <c r="H2262" s="3" t="s">
        <v>100</v>
      </c>
      <c r="I2262" s="3" t="s">
        <v>101</v>
      </c>
      <c r="J2262" s="3" t="s">
        <v>142</v>
      </c>
      <c r="K2262" s="3" t="s">
        <v>1845</v>
      </c>
      <c r="L2262" s="4">
        <v>0.35486111111111113</v>
      </c>
      <c r="M2262" s="3" t="s">
        <v>1860</v>
      </c>
      <c r="N2262" s="3" t="s">
        <v>24</v>
      </c>
      <c r="O2262" s="3" t="s">
        <v>25</v>
      </c>
    </row>
    <row r="2263" spans="1:15">
      <c r="A2263" s="5" t="s">
        <v>15</v>
      </c>
      <c r="B2263" s="5" t="str">
        <f>"FES1162742307"</f>
        <v>FES1162742307</v>
      </c>
      <c r="C2263" s="5" t="s">
        <v>1666</v>
      </c>
      <c r="D2263" s="5">
        <v>1</v>
      </c>
      <c r="E2263" s="5" t="str">
        <f>"2170733815"</f>
        <v>2170733815</v>
      </c>
      <c r="F2263" s="5" t="s">
        <v>17</v>
      </c>
      <c r="G2263" s="5" t="s">
        <v>18</v>
      </c>
      <c r="H2263" s="5" t="s">
        <v>18</v>
      </c>
      <c r="I2263" s="5" t="s">
        <v>29</v>
      </c>
      <c r="J2263" s="5" t="s">
        <v>1861</v>
      </c>
      <c r="K2263" s="5" t="s">
        <v>1845</v>
      </c>
      <c r="L2263" s="6">
        <v>0.36805555555555558</v>
      </c>
      <c r="M2263" s="5" t="s">
        <v>1862</v>
      </c>
      <c r="N2263" s="5" t="s">
        <v>24</v>
      </c>
      <c r="O2263" s="5" t="s">
        <v>25</v>
      </c>
    </row>
    <row r="2264" spans="1:15">
      <c r="A2264" s="5" t="s">
        <v>15</v>
      </c>
      <c r="B2264" s="5" t="str">
        <f>"FES1162742375"</f>
        <v>FES1162742375</v>
      </c>
      <c r="C2264" s="5" t="s">
        <v>1666</v>
      </c>
      <c r="D2264" s="5">
        <v>1</v>
      </c>
      <c r="E2264" s="5" t="str">
        <f>"2170733894"</f>
        <v>2170733894</v>
      </c>
      <c r="F2264" s="5" t="s">
        <v>17</v>
      </c>
      <c r="G2264" s="5" t="s">
        <v>18</v>
      </c>
      <c r="H2264" s="5" t="s">
        <v>100</v>
      </c>
      <c r="I2264" s="5" t="s">
        <v>101</v>
      </c>
      <c r="J2264" s="5" t="s">
        <v>1427</v>
      </c>
      <c r="K2264" s="5" t="s">
        <v>1845</v>
      </c>
      <c r="L2264" s="6">
        <v>0.4236111111111111</v>
      </c>
      <c r="M2264" s="5" t="s">
        <v>1863</v>
      </c>
      <c r="N2264" s="5" t="s">
        <v>24</v>
      </c>
      <c r="O2264" s="5" t="s">
        <v>25</v>
      </c>
    </row>
    <row r="2265" spans="1:15">
      <c r="A2265" s="5" t="s">
        <v>15</v>
      </c>
      <c r="B2265" s="5" t="str">
        <f>"FES1162742338"</f>
        <v>FES1162742338</v>
      </c>
      <c r="C2265" s="5" t="s">
        <v>1666</v>
      </c>
      <c r="D2265" s="5">
        <v>1</v>
      </c>
      <c r="E2265" s="5" t="str">
        <f>"2170733858"</f>
        <v>2170733858</v>
      </c>
      <c r="F2265" s="5" t="s">
        <v>17</v>
      </c>
      <c r="G2265" s="5" t="s">
        <v>18</v>
      </c>
      <c r="H2265" s="5" t="s">
        <v>100</v>
      </c>
      <c r="I2265" s="5" t="s">
        <v>262</v>
      </c>
      <c r="J2265" s="5" t="s">
        <v>263</v>
      </c>
      <c r="K2265" s="5" t="s">
        <v>1845</v>
      </c>
      <c r="L2265" s="6">
        <v>0.4236111111111111</v>
      </c>
      <c r="M2265" s="5" t="s">
        <v>1864</v>
      </c>
      <c r="N2265" s="5" t="s">
        <v>24</v>
      </c>
      <c r="O2265" s="5" t="s">
        <v>25</v>
      </c>
    </row>
    <row r="2266" spans="1:15">
      <c r="A2266" s="5" t="s">
        <v>15</v>
      </c>
      <c r="B2266" s="5" t="str">
        <f>"FES1162742395"</f>
        <v>FES1162742395</v>
      </c>
      <c r="C2266" s="5" t="s">
        <v>1666</v>
      </c>
      <c r="D2266" s="5">
        <v>1</v>
      </c>
      <c r="E2266" s="5" t="str">
        <f>"2170733910"</f>
        <v>2170733910</v>
      </c>
      <c r="F2266" s="5" t="s">
        <v>17</v>
      </c>
      <c r="G2266" s="5" t="s">
        <v>18</v>
      </c>
      <c r="H2266" s="5" t="s">
        <v>100</v>
      </c>
      <c r="I2266" s="5" t="s">
        <v>117</v>
      </c>
      <c r="J2266" s="5" t="s">
        <v>335</v>
      </c>
      <c r="K2266" s="5" t="s">
        <v>1845</v>
      </c>
      <c r="L2266" s="6">
        <v>0.50347222222222221</v>
      </c>
      <c r="M2266" s="5" t="s">
        <v>336</v>
      </c>
      <c r="N2266" s="5" t="s">
        <v>24</v>
      </c>
      <c r="O2266" s="5" t="s">
        <v>25</v>
      </c>
    </row>
    <row r="2267" spans="1:15">
      <c r="A2267" s="5" t="s">
        <v>15</v>
      </c>
      <c r="B2267" s="5" t="str">
        <f>"FES1162742296"</f>
        <v>FES1162742296</v>
      </c>
      <c r="C2267" s="5" t="s">
        <v>1666</v>
      </c>
      <c r="D2267" s="5">
        <v>1</v>
      </c>
      <c r="E2267" s="5" t="str">
        <f>"2170733131"</f>
        <v>2170733131</v>
      </c>
      <c r="F2267" s="5" t="s">
        <v>17</v>
      </c>
      <c r="G2267" s="5" t="s">
        <v>18</v>
      </c>
      <c r="H2267" s="5" t="s">
        <v>100</v>
      </c>
      <c r="I2267" s="5" t="s">
        <v>101</v>
      </c>
      <c r="J2267" s="5" t="s">
        <v>1865</v>
      </c>
      <c r="K2267" s="5" t="s">
        <v>1845</v>
      </c>
      <c r="L2267" s="6">
        <v>0.39374999999999999</v>
      </c>
      <c r="M2267" s="5" t="s">
        <v>607</v>
      </c>
      <c r="N2267" s="5" t="s">
        <v>24</v>
      </c>
      <c r="O2267" s="5" t="s">
        <v>25</v>
      </c>
    </row>
    <row r="2268" spans="1:15">
      <c r="A2268" s="5" t="s">
        <v>15</v>
      </c>
      <c r="B2268" s="5" t="str">
        <f>"FES1162742299"</f>
        <v>FES1162742299</v>
      </c>
      <c r="C2268" s="5" t="s">
        <v>1666</v>
      </c>
      <c r="D2268" s="5">
        <v>1</v>
      </c>
      <c r="E2268" s="5" t="str">
        <f>"2170733622"</f>
        <v>2170733622</v>
      </c>
      <c r="F2268" s="5" t="s">
        <v>17</v>
      </c>
      <c r="G2268" s="5" t="s">
        <v>18</v>
      </c>
      <c r="H2268" s="5" t="s">
        <v>100</v>
      </c>
      <c r="I2268" s="5" t="s">
        <v>144</v>
      </c>
      <c r="J2268" s="5" t="s">
        <v>378</v>
      </c>
      <c r="K2268" s="5" t="s">
        <v>1845</v>
      </c>
      <c r="L2268" s="6">
        <v>0.36527777777777781</v>
      </c>
      <c r="M2268" s="5" t="s">
        <v>1724</v>
      </c>
      <c r="N2268" s="5" t="s">
        <v>24</v>
      </c>
      <c r="O2268" s="5" t="s">
        <v>25</v>
      </c>
    </row>
    <row r="2269" spans="1:15">
      <c r="A2269" s="5" t="s">
        <v>15</v>
      </c>
      <c r="B2269" s="5" t="str">
        <f>"FES1162742308"</f>
        <v>FES1162742308</v>
      </c>
      <c r="C2269" s="5" t="s">
        <v>1666</v>
      </c>
      <c r="D2269" s="5">
        <v>1</v>
      </c>
      <c r="E2269" s="5" t="str">
        <f>"2170733186"</f>
        <v>2170733186</v>
      </c>
      <c r="F2269" s="5" t="s">
        <v>17</v>
      </c>
      <c r="G2269" s="5" t="s">
        <v>18</v>
      </c>
      <c r="H2269" s="5" t="s">
        <v>100</v>
      </c>
      <c r="I2269" s="5" t="s">
        <v>101</v>
      </c>
      <c r="J2269" s="5" t="s">
        <v>738</v>
      </c>
      <c r="K2269" s="5" t="s">
        <v>1845</v>
      </c>
      <c r="L2269" s="6">
        <v>0.31597222222222221</v>
      </c>
      <c r="M2269" s="5" t="s">
        <v>1866</v>
      </c>
      <c r="N2269" s="5" t="s">
        <v>24</v>
      </c>
      <c r="O2269" s="5" t="s">
        <v>25</v>
      </c>
    </row>
    <row r="2270" spans="1:15">
      <c r="A2270" s="5" t="s">
        <v>15</v>
      </c>
      <c r="B2270" s="5" t="str">
        <f>"FES1162742368"</f>
        <v>FES1162742368</v>
      </c>
      <c r="C2270" s="5" t="s">
        <v>1666</v>
      </c>
      <c r="D2270" s="5">
        <v>1</v>
      </c>
      <c r="E2270" s="5" t="str">
        <f>"2170732185"</f>
        <v>2170732185</v>
      </c>
      <c r="F2270" s="5" t="s">
        <v>17</v>
      </c>
      <c r="G2270" s="5" t="s">
        <v>18</v>
      </c>
      <c r="H2270" s="5" t="s">
        <v>18</v>
      </c>
      <c r="I2270" s="5" t="s">
        <v>206</v>
      </c>
      <c r="J2270" s="5" t="s">
        <v>207</v>
      </c>
      <c r="K2270" s="5" t="s">
        <v>1845</v>
      </c>
      <c r="L2270" s="6">
        <v>0.4375</v>
      </c>
      <c r="M2270" s="5" t="s">
        <v>439</v>
      </c>
      <c r="N2270" s="5" t="s">
        <v>24</v>
      </c>
      <c r="O2270" s="5" t="s">
        <v>25</v>
      </c>
    </row>
    <row r="2271" spans="1:15">
      <c r="A2271" s="5" t="s">
        <v>15</v>
      </c>
      <c r="B2271" s="5" t="str">
        <f>"FES1162742310"</f>
        <v>FES1162742310</v>
      </c>
      <c r="C2271" s="5" t="s">
        <v>1666</v>
      </c>
      <c r="D2271" s="5">
        <v>1</v>
      </c>
      <c r="E2271" s="5" t="str">
        <f>"2170733818"</f>
        <v>2170733818</v>
      </c>
      <c r="F2271" s="5" t="s">
        <v>17</v>
      </c>
      <c r="G2271" s="5" t="s">
        <v>18</v>
      </c>
      <c r="H2271" s="5" t="s">
        <v>66</v>
      </c>
      <c r="I2271" s="5" t="s">
        <v>67</v>
      </c>
      <c r="J2271" s="5" t="s">
        <v>1867</v>
      </c>
      <c r="K2271" s="5" t="s">
        <v>1845</v>
      </c>
      <c r="L2271" s="6">
        <v>0.35347222222222219</v>
      </c>
      <c r="M2271" s="5" t="s">
        <v>1868</v>
      </c>
      <c r="N2271" s="5" t="s">
        <v>24</v>
      </c>
      <c r="O2271" s="5" t="s">
        <v>25</v>
      </c>
    </row>
    <row r="2272" spans="1:15">
      <c r="A2272" s="5" t="s">
        <v>15</v>
      </c>
      <c r="B2272" s="5" t="str">
        <f>"FES1162742301"</f>
        <v>FES1162742301</v>
      </c>
      <c r="C2272" s="5" t="s">
        <v>1666</v>
      </c>
      <c r="D2272" s="5">
        <v>1</v>
      </c>
      <c r="E2272" s="5" t="str">
        <f>"2170733805"</f>
        <v>2170733805</v>
      </c>
      <c r="F2272" s="5" t="s">
        <v>17</v>
      </c>
      <c r="G2272" s="5" t="s">
        <v>18</v>
      </c>
      <c r="H2272" s="5" t="s">
        <v>100</v>
      </c>
      <c r="I2272" s="5" t="s">
        <v>117</v>
      </c>
      <c r="J2272" s="5" t="s">
        <v>118</v>
      </c>
      <c r="K2272" s="5" t="s">
        <v>1845</v>
      </c>
      <c r="L2272" s="6">
        <v>0.52013888888888882</v>
      </c>
      <c r="M2272" s="5" t="s">
        <v>734</v>
      </c>
      <c r="N2272" s="5" t="s">
        <v>24</v>
      </c>
      <c r="O2272" s="5" t="s">
        <v>25</v>
      </c>
    </row>
    <row r="2273" spans="1:15">
      <c r="A2273" s="5" t="s">
        <v>15</v>
      </c>
      <c r="B2273" s="5" t="str">
        <f>"FES1162742287"</f>
        <v>FES1162742287</v>
      </c>
      <c r="C2273" s="5" t="s">
        <v>1666</v>
      </c>
      <c r="D2273" s="5">
        <v>1</v>
      </c>
      <c r="E2273" s="5" t="str">
        <f>"2170733797"</f>
        <v>2170733797</v>
      </c>
      <c r="F2273" s="5" t="s">
        <v>17</v>
      </c>
      <c r="G2273" s="5" t="s">
        <v>18</v>
      </c>
      <c r="H2273" s="5" t="s">
        <v>100</v>
      </c>
      <c r="I2273" s="5" t="s">
        <v>262</v>
      </c>
      <c r="J2273" s="5" t="s">
        <v>409</v>
      </c>
      <c r="K2273" s="5" t="s">
        <v>1845</v>
      </c>
      <c r="L2273" s="6">
        <v>0.52013888888888882</v>
      </c>
      <c r="M2273" s="5" t="s">
        <v>1822</v>
      </c>
      <c r="N2273" s="5" t="s">
        <v>24</v>
      </c>
      <c r="O2273" s="5" t="s">
        <v>25</v>
      </c>
    </row>
    <row r="2274" spans="1:15">
      <c r="A2274" s="5" t="s">
        <v>15</v>
      </c>
      <c r="B2274" s="5" t="str">
        <f>"FES1162742337"</f>
        <v>FES1162742337</v>
      </c>
      <c r="C2274" s="5" t="s">
        <v>1666</v>
      </c>
      <c r="D2274" s="5">
        <v>1</v>
      </c>
      <c r="E2274" s="5" t="str">
        <f>"2170733857"</f>
        <v>2170733857</v>
      </c>
      <c r="F2274" s="5" t="s">
        <v>17</v>
      </c>
      <c r="G2274" s="5" t="s">
        <v>18</v>
      </c>
      <c r="H2274" s="5" t="s">
        <v>100</v>
      </c>
      <c r="I2274" s="5" t="s">
        <v>101</v>
      </c>
      <c r="J2274" s="5" t="s">
        <v>142</v>
      </c>
      <c r="K2274" s="5" t="s">
        <v>1845</v>
      </c>
      <c r="L2274" s="6">
        <v>0.35486111111111113</v>
      </c>
      <c r="M2274" s="5" t="s">
        <v>1869</v>
      </c>
      <c r="N2274" s="5" t="s">
        <v>24</v>
      </c>
      <c r="O2274" s="5" t="s">
        <v>25</v>
      </c>
    </row>
    <row r="2275" spans="1:15">
      <c r="A2275" s="5" t="s">
        <v>15</v>
      </c>
      <c r="B2275" s="5" t="str">
        <f>"FES1162742404"</f>
        <v>FES1162742404</v>
      </c>
      <c r="C2275" s="5" t="s">
        <v>1666</v>
      </c>
      <c r="D2275" s="5">
        <v>1</v>
      </c>
      <c r="E2275" s="5" t="str">
        <f>"2170733921"</f>
        <v>2170733921</v>
      </c>
      <c r="F2275" s="5" t="s">
        <v>17</v>
      </c>
      <c r="G2275" s="5" t="s">
        <v>18</v>
      </c>
      <c r="H2275" s="5" t="s">
        <v>100</v>
      </c>
      <c r="I2275" s="5" t="s">
        <v>101</v>
      </c>
      <c r="J2275" s="5" t="s">
        <v>142</v>
      </c>
      <c r="K2275" s="5" t="s">
        <v>1845</v>
      </c>
      <c r="L2275" s="6">
        <v>0.35486111111111113</v>
      </c>
      <c r="M2275" s="5" t="s">
        <v>1869</v>
      </c>
      <c r="N2275" s="5" t="s">
        <v>24</v>
      </c>
      <c r="O2275" s="5" t="s">
        <v>25</v>
      </c>
    </row>
    <row r="2276" spans="1:15">
      <c r="A2276" s="5" t="s">
        <v>15</v>
      </c>
      <c r="B2276" s="5" t="str">
        <f>"FES1162742339"</f>
        <v>FES1162742339</v>
      </c>
      <c r="C2276" s="5" t="s">
        <v>1666</v>
      </c>
      <c r="D2276" s="5">
        <v>1</v>
      </c>
      <c r="E2276" s="5" t="str">
        <f>"2170733859"</f>
        <v>2170733859</v>
      </c>
      <c r="F2276" s="5" t="s">
        <v>17</v>
      </c>
      <c r="G2276" s="5" t="s">
        <v>18</v>
      </c>
      <c r="H2276" s="5" t="s">
        <v>100</v>
      </c>
      <c r="I2276" s="5" t="s">
        <v>101</v>
      </c>
      <c r="J2276" s="5" t="s">
        <v>142</v>
      </c>
      <c r="K2276" s="5" t="s">
        <v>1845</v>
      </c>
      <c r="L2276" s="6">
        <v>0.35486111111111113</v>
      </c>
      <c r="M2276" s="5" t="s">
        <v>1869</v>
      </c>
      <c r="N2276" s="5" t="s">
        <v>24</v>
      </c>
      <c r="O2276" s="5" t="s">
        <v>25</v>
      </c>
    </row>
    <row r="2277" spans="1:15">
      <c r="A2277" s="5" t="s">
        <v>15</v>
      </c>
      <c r="B2277" s="5" t="str">
        <f>"FES1162742336"</f>
        <v>FES1162742336</v>
      </c>
      <c r="C2277" s="5" t="s">
        <v>1666</v>
      </c>
      <c r="D2277" s="5">
        <v>1</v>
      </c>
      <c r="E2277" s="5" t="str">
        <f>"2170733856"</f>
        <v>2170733856</v>
      </c>
      <c r="F2277" s="5" t="s">
        <v>17</v>
      </c>
      <c r="G2277" s="5" t="s">
        <v>18</v>
      </c>
      <c r="H2277" s="5" t="s">
        <v>19</v>
      </c>
      <c r="I2277" s="5" t="s">
        <v>20</v>
      </c>
      <c r="J2277" s="5" t="s">
        <v>576</v>
      </c>
      <c r="K2277" s="5" t="s">
        <v>1845</v>
      </c>
      <c r="L2277" s="6">
        <v>0.38958333333333334</v>
      </c>
      <c r="M2277" s="5" t="s">
        <v>577</v>
      </c>
      <c r="N2277" s="5" t="s">
        <v>24</v>
      </c>
      <c r="O2277" s="5" t="s">
        <v>25</v>
      </c>
    </row>
    <row r="2278" spans="1:15">
      <c r="A2278" s="3" t="s">
        <v>15</v>
      </c>
      <c r="B2278" s="3" t="str">
        <f>"FES1162742328"</f>
        <v>FES1162742328</v>
      </c>
      <c r="C2278" s="3" t="s">
        <v>1666</v>
      </c>
      <c r="D2278" s="3">
        <v>1</v>
      </c>
      <c r="E2278" s="3" t="str">
        <f>"2170733843"</f>
        <v>2170733843</v>
      </c>
      <c r="F2278" s="3" t="s">
        <v>17</v>
      </c>
      <c r="G2278" s="3" t="s">
        <v>18</v>
      </c>
      <c r="H2278" s="3" t="s">
        <v>537</v>
      </c>
      <c r="I2278" s="3" t="s">
        <v>538</v>
      </c>
      <c r="J2278" s="3" t="s">
        <v>1106</v>
      </c>
      <c r="K2278" s="3" t="s">
        <v>1845</v>
      </c>
      <c r="L2278" s="4">
        <v>0.39652777777777781</v>
      </c>
      <c r="M2278" s="3" t="s">
        <v>1107</v>
      </c>
      <c r="N2278" s="3" t="s">
        <v>24</v>
      </c>
      <c r="O2278" s="3" t="s">
        <v>25</v>
      </c>
    </row>
    <row r="2279" spans="1:15">
      <c r="A2279" s="3" t="s">
        <v>15</v>
      </c>
      <c r="B2279" s="3" t="str">
        <f>"FES1162742351"</f>
        <v>FES1162742351</v>
      </c>
      <c r="C2279" s="3" t="s">
        <v>1666</v>
      </c>
      <c r="D2279" s="3">
        <v>1</v>
      </c>
      <c r="E2279" s="3" t="str">
        <f>"2170733874"</f>
        <v>2170733874</v>
      </c>
      <c r="F2279" s="3" t="s">
        <v>17</v>
      </c>
      <c r="G2279" s="3" t="s">
        <v>18</v>
      </c>
      <c r="H2279" s="3" t="s">
        <v>100</v>
      </c>
      <c r="I2279" s="3" t="s">
        <v>101</v>
      </c>
      <c r="J2279" s="3" t="s">
        <v>1045</v>
      </c>
      <c r="K2279" s="3" t="s">
        <v>1845</v>
      </c>
      <c r="L2279" s="4">
        <v>0.42569444444444443</v>
      </c>
      <c r="M2279" s="3" t="s">
        <v>251</v>
      </c>
      <c r="N2279" s="3" t="s">
        <v>24</v>
      </c>
      <c r="O2279" s="3" t="s">
        <v>25</v>
      </c>
    </row>
    <row r="2280" spans="1:15">
      <c r="A2280" s="3" t="s">
        <v>15</v>
      </c>
      <c r="B2280" s="3" t="str">
        <f>"FES1162742407"</f>
        <v>FES1162742407</v>
      </c>
      <c r="C2280" s="3" t="s">
        <v>1666</v>
      </c>
      <c r="D2280" s="3">
        <v>1</v>
      </c>
      <c r="E2280" s="3" t="str">
        <f>"2170733924"</f>
        <v>2170733924</v>
      </c>
      <c r="F2280" s="3" t="s">
        <v>17</v>
      </c>
      <c r="G2280" s="3" t="s">
        <v>18</v>
      </c>
      <c r="H2280" s="3" t="s">
        <v>18</v>
      </c>
      <c r="I2280" s="3" t="s">
        <v>180</v>
      </c>
      <c r="J2280" s="3" t="s">
        <v>1870</v>
      </c>
      <c r="K2280" s="3" t="s">
        <v>1845</v>
      </c>
      <c r="L2280" s="4">
        <v>0.3611111111111111</v>
      </c>
      <c r="M2280" s="3" t="s">
        <v>1871</v>
      </c>
      <c r="N2280" s="3" t="s">
        <v>24</v>
      </c>
      <c r="O2280" s="3" t="s">
        <v>25</v>
      </c>
    </row>
    <row r="2281" spans="1:15">
      <c r="A2281" s="3" t="s">
        <v>15</v>
      </c>
      <c r="B2281" s="3" t="str">
        <f>"FES1162742285"</f>
        <v>FES1162742285</v>
      </c>
      <c r="C2281" s="3" t="s">
        <v>1666</v>
      </c>
      <c r="D2281" s="3">
        <v>1</v>
      </c>
      <c r="E2281" s="3" t="str">
        <f>"2170733795"</f>
        <v>2170733795</v>
      </c>
      <c r="F2281" s="3" t="s">
        <v>17</v>
      </c>
      <c r="G2281" s="3" t="s">
        <v>18</v>
      </c>
      <c r="H2281" s="3" t="s">
        <v>18</v>
      </c>
      <c r="I2281" s="3" t="s">
        <v>29</v>
      </c>
      <c r="J2281" s="3" t="s">
        <v>1211</v>
      </c>
      <c r="K2281" s="3" t="s">
        <v>1845</v>
      </c>
      <c r="L2281" s="4">
        <v>0.34513888888888888</v>
      </c>
      <c r="M2281" s="3" t="s">
        <v>1872</v>
      </c>
      <c r="N2281" s="3" t="s">
        <v>24</v>
      </c>
      <c r="O2281" s="3" t="s">
        <v>25</v>
      </c>
    </row>
    <row r="2282" spans="1:15">
      <c r="A2282" s="3" t="s">
        <v>15</v>
      </c>
      <c r="B2282" s="3" t="str">
        <f>"FES1162742297"</f>
        <v>FES1162742297</v>
      </c>
      <c r="C2282" s="3" t="s">
        <v>1666</v>
      </c>
      <c r="D2282" s="3">
        <v>1</v>
      </c>
      <c r="E2282" s="3" t="str">
        <f>"2170733208"</f>
        <v>2170733208</v>
      </c>
      <c r="F2282" s="3" t="s">
        <v>17</v>
      </c>
      <c r="G2282" s="3" t="s">
        <v>18</v>
      </c>
      <c r="H2282" s="3" t="s">
        <v>18</v>
      </c>
      <c r="I2282" s="3" t="s">
        <v>168</v>
      </c>
      <c r="J2282" s="3" t="s">
        <v>1177</v>
      </c>
      <c r="K2282" s="3" t="s">
        <v>1845</v>
      </c>
      <c r="L2282" s="4">
        <v>0.37013888888888885</v>
      </c>
      <c r="M2282" s="3" t="s">
        <v>461</v>
      </c>
      <c r="N2282" s="3" t="s">
        <v>24</v>
      </c>
      <c r="O2282" s="3" t="s">
        <v>25</v>
      </c>
    </row>
    <row r="2283" spans="1:15">
      <c r="A2283" s="5" t="s">
        <v>15</v>
      </c>
      <c r="B2283" s="5" t="str">
        <f>"FES1162742345"</f>
        <v>FES1162742345</v>
      </c>
      <c r="C2283" s="5" t="s">
        <v>1666</v>
      </c>
      <c r="D2283" s="5">
        <v>1</v>
      </c>
      <c r="E2283" s="5" t="str">
        <f>"2170733867"</f>
        <v>2170733867</v>
      </c>
      <c r="F2283" s="5" t="s">
        <v>17</v>
      </c>
      <c r="G2283" s="5" t="s">
        <v>18</v>
      </c>
      <c r="H2283" s="5" t="s">
        <v>46</v>
      </c>
      <c r="I2283" s="5" t="s">
        <v>47</v>
      </c>
      <c r="J2283" s="5" t="s">
        <v>62</v>
      </c>
      <c r="K2283" s="5" t="s">
        <v>1845</v>
      </c>
      <c r="L2283" s="6">
        <v>0.43333333333333335</v>
      </c>
      <c r="M2283" s="5" t="s">
        <v>63</v>
      </c>
      <c r="N2283" s="5" t="s">
        <v>24</v>
      </c>
      <c r="O2283" s="5" t="s">
        <v>25</v>
      </c>
    </row>
    <row r="2284" spans="1:15">
      <c r="A2284" s="5" t="s">
        <v>15</v>
      </c>
      <c r="B2284" s="5" t="str">
        <f>"FES1162742374"</f>
        <v>FES1162742374</v>
      </c>
      <c r="C2284" s="5" t="s">
        <v>1666</v>
      </c>
      <c r="D2284" s="5">
        <v>1</v>
      </c>
      <c r="E2284" s="5" t="str">
        <f>"2170733893"</f>
        <v>2170733893</v>
      </c>
      <c r="F2284" s="5" t="s">
        <v>17</v>
      </c>
      <c r="G2284" s="5" t="s">
        <v>18</v>
      </c>
      <c r="H2284" s="5" t="s">
        <v>36</v>
      </c>
      <c r="I2284" s="5" t="s">
        <v>1440</v>
      </c>
      <c r="J2284" s="5" t="s">
        <v>1441</v>
      </c>
      <c r="K2284" s="5" t="s">
        <v>1845</v>
      </c>
      <c r="L2284" s="5" t="s">
        <v>1873</v>
      </c>
      <c r="M2284" s="5" t="s">
        <v>1604</v>
      </c>
      <c r="N2284" s="5" t="s">
        <v>24</v>
      </c>
      <c r="O2284" s="5" t="s">
        <v>25</v>
      </c>
    </row>
    <row r="2285" spans="1:15">
      <c r="A2285" s="5" t="s">
        <v>15</v>
      </c>
      <c r="B2285" s="5" t="str">
        <f>"FES1162742390"</f>
        <v>FES1162742390</v>
      </c>
      <c r="C2285" s="5" t="s">
        <v>1666</v>
      </c>
      <c r="D2285" s="5">
        <v>2</v>
      </c>
      <c r="E2285" s="5" t="str">
        <f>"2170733904"</f>
        <v>2170733904</v>
      </c>
      <c r="F2285" s="5" t="s">
        <v>528</v>
      </c>
      <c r="G2285" s="5" t="s">
        <v>948</v>
      </c>
      <c r="H2285" s="5" t="s">
        <v>46</v>
      </c>
      <c r="I2285" s="5" t="s">
        <v>47</v>
      </c>
      <c r="J2285" s="5" t="s">
        <v>1498</v>
      </c>
      <c r="K2285" s="5" t="s">
        <v>1845</v>
      </c>
      <c r="L2285" s="5" t="s">
        <v>1873</v>
      </c>
      <c r="M2285" s="5" t="s">
        <v>1874</v>
      </c>
      <c r="N2285" s="5" t="s">
        <v>24</v>
      </c>
      <c r="O2285" s="5" t="s">
        <v>317</v>
      </c>
    </row>
    <row r="2286" spans="1:15">
      <c r="A2286" s="5" t="s">
        <v>15</v>
      </c>
      <c r="B2286" s="5" t="str">
        <f>"FES1162742361"</f>
        <v>FES1162742361</v>
      </c>
      <c r="C2286" s="5" t="s">
        <v>1666</v>
      </c>
      <c r="D2286" s="5">
        <v>1</v>
      </c>
      <c r="E2286" s="5" t="str">
        <f>"2170737466"</f>
        <v>2170737466</v>
      </c>
      <c r="F2286" s="5" t="s">
        <v>17</v>
      </c>
      <c r="G2286" s="5" t="s">
        <v>18</v>
      </c>
      <c r="H2286" s="5" t="s">
        <v>36</v>
      </c>
      <c r="I2286" s="5" t="s">
        <v>37</v>
      </c>
      <c r="J2286" s="5" t="s">
        <v>853</v>
      </c>
      <c r="K2286" s="5" t="s">
        <v>1845</v>
      </c>
      <c r="L2286" s="6">
        <v>0.37083333333333335</v>
      </c>
      <c r="M2286" s="5" t="s">
        <v>1679</v>
      </c>
      <c r="N2286" s="5" t="s">
        <v>24</v>
      </c>
      <c r="O2286" s="5" t="s">
        <v>25</v>
      </c>
    </row>
    <row r="2287" spans="1:15">
      <c r="A2287" s="5" t="s">
        <v>15</v>
      </c>
      <c r="B2287" s="5" t="str">
        <f>"FES1162742398"</f>
        <v>FES1162742398</v>
      </c>
      <c r="C2287" s="5" t="s">
        <v>1666</v>
      </c>
      <c r="D2287" s="5">
        <v>1</v>
      </c>
      <c r="E2287" s="5" t="str">
        <f>"2170733912"</f>
        <v>2170733912</v>
      </c>
      <c r="F2287" s="5" t="s">
        <v>17</v>
      </c>
      <c r="G2287" s="5" t="s">
        <v>18</v>
      </c>
      <c r="H2287" s="5" t="s">
        <v>18</v>
      </c>
      <c r="I2287" s="5" t="s">
        <v>222</v>
      </c>
      <c r="J2287" s="5" t="s">
        <v>716</v>
      </c>
      <c r="K2287" s="5" t="s">
        <v>1845</v>
      </c>
      <c r="L2287" s="6">
        <v>0.375</v>
      </c>
      <c r="M2287" s="5" t="s">
        <v>1875</v>
      </c>
      <c r="N2287" s="5" t="s">
        <v>24</v>
      </c>
      <c r="O2287" s="5" t="s">
        <v>25</v>
      </c>
    </row>
    <row r="2288" spans="1:15">
      <c r="A2288" s="5" t="s">
        <v>15</v>
      </c>
      <c r="B2288" s="5" t="str">
        <f>"FES1162742309"</f>
        <v>FES1162742309</v>
      </c>
      <c r="C2288" s="5" t="s">
        <v>1666</v>
      </c>
      <c r="D2288" s="5">
        <v>1</v>
      </c>
      <c r="E2288" s="5" t="str">
        <f>"2170733817"</f>
        <v>2170733817</v>
      </c>
      <c r="F2288" s="5" t="s">
        <v>17</v>
      </c>
      <c r="G2288" s="5" t="s">
        <v>18</v>
      </c>
      <c r="H2288" s="5" t="s">
        <v>18</v>
      </c>
      <c r="I2288" s="5" t="s">
        <v>33</v>
      </c>
      <c r="J2288" s="5" t="s">
        <v>1582</v>
      </c>
      <c r="K2288" s="5" t="s">
        <v>1845</v>
      </c>
      <c r="L2288" s="6">
        <v>0.4375</v>
      </c>
      <c r="M2288" s="5" t="s">
        <v>1876</v>
      </c>
      <c r="N2288" s="5" t="s">
        <v>24</v>
      </c>
      <c r="O2288" s="5" t="s">
        <v>25</v>
      </c>
    </row>
    <row r="2289" spans="1:15">
      <c r="A2289" s="3" t="s">
        <v>15</v>
      </c>
      <c r="B2289" s="3" t="str">
        <f>"FES1162742340"</f>
        <v>FES1162742340</v>
      </c>
      <c r="C2289" s="3" t="s">
        <v>1666</v>
      </c>
      <c r="D2289" s="3">
        <v>1</v>
      </c>
      <c r="E2289" s="3" t="str">
        <f>"2170733861"</f>
        <v>2170733861</v>
      </c>
      <c r="F2289" s="3" t="s">
        <v>17</v>
      </c>
      <c r="G2289" s="3" t="s">
        <v>18</v>
      </c>
      <c r="H2289" s="3" t="s">
        <v>18</v>
      </c>
      <c r="I2289" s="3" t="s">
        <v>151</v>
      </c>
      <c r="J2289" s="3" t="s">
        <v>770</v>
      </c>
      <c r="K2289" s="3" t="s">
        <v>1845</v>
      </c>
      <c r="L2289" s="4">
        <v>0.33333333333333331</v>
      </c>
      <c r="M2289" s="3" t="s">
        <v>1393</v>
      </c>
      <c r="N2289" s="3" t="s">
        <v>24</v>
      </c>
      <c r="O2289" s="3" t="s">
        <v>25</v>
      </c>
    </row>
    <row r="2290" spans="1:15">
      <c r="A2290" s="3" t="s">
        <v>15</v>
      </c>
      <c r="B2290" s="3" t="str">
        <f>"FES1162742295"</f>
        <v>FES1162742295</v>
      </c>
      <c r="C2290" s="3" t="s">
        <v>1666</v>
      </c>
      <c r="D2290" s="3">
        <v>1</v>
      </c>
      <c r="E2290" s="3" t="str">
        <f>"2170732967"</f>
        <v>2170732967</v>
      </c>
      <c r="F2290" s="3" t="s">
        <v>17</v>
      </c>
      <c r="G2290" s="3" t="s">
        <v>18</v>
      </c>
      <c r="H2290" s="3" t="s">
        <v>18</v>
      </c>
      <c r="I2290" s="3" t="s">
        <v>180</v>
      </c>
      <c r="J2290" s="3" t="s">
        <v>1613</v>
      </c>
      <c r="K2290" s="3" t="s">
        <v>1845</v>
      </c>
      <c r="L2290" s="4">
        <v>0.38194444444444442</v>
      </c>
      <c r="M2290" s="3" t="s">
        <v>1877</v>
      </c>
      <c r="N2290" s="3" t="s">
        <v>24</v>
      </c>
      <c r="O2290" s="3" t="s">
        <v>25</v>
      </c>
    </row>
    <row r="2291" spans="1:15">
      <c r="A2291" s="5" t="s">
        <v>15</v>
      </c>
      <c r="B2291" s="5" t="str">
        <f>"FES1162742298"</f>
        <v>FES1162742298</v>
      </c>
      <c r="C2291" s="5" t="s">
        <v>1666</v>
      </c>
      <c r="D2291" s="5">
        <v>1</v>
      </c>
      <c r="E2291" s="5" t="str">
        <f>"2170733218"</f>
        <v>2170733218</v>
      </c>
      <c r="F2291" s="5" t="s">
        <v>17</v>
      </c>
      <c r="G2291" s="5" t="s">
        <v>18</v>
      </c>
      <c r="H2291" s="5" t="s">
        <v>18</v>
      </c>
      <c r="I2291" s="5" t="s">
        <v>33</v>
      </c>
      <c r="J2291" s="5" t="s">
        <v>1878</v>
      </c>
      <c r="K2291" s="5" t="s">
        <v>1845</v>
      </c>
      <c r="L2291" s="6">
        <v>0.36805555555555558</v>
      </c>
      <c r="M2291" s="5" t="s">
        <v>461</v>
      </c>
      <c r="N2291" s="5" t="s">
        <v>24</v>
      </c>
      <c r="O2291" s="5" t="s">
        <v>25</v>
      </c>
    </row>
    <row r="2292" spans="1:15">
      <c r="A2292" s="5" t="s">
        <v>15</v>
      </c>
      <c r="B2292" s="5" t="str">
        <f>"FES1162742329"</f>
        <v>FES1162742329</v>
      </c>
      <c r="C2292" s="5" t="s">
        <v>1666</v>
      </c>
      <c r="D2292" s="5">
        <v>1</v>
      </c>
      <c r="E2292" s="5" t="str">
        <f>"2170733831"</f>
        <v>2170733831</v>
      </c>
      <c r="F2292" s="5" t="s">
        <v>17</v>
      </c>
      <c r="G2292" s="5" t="s">
        <v>18</v>
      </c>
      <c r="H2292" s="5" t="s">
        <v>18</v>
      </c>
      <c r="I2292" s="5" t="s">
        <v>903</v>
      </c>
      <c r="J2292" s="5" t="s">
        <v>1409</v>
      </c>
      <c r="K2292" s="5" t="s">
        <v>1845</v>
      </c>
      <c r="L2292" s="6">
        <v>0.40486111111111112</v>
      </c>
      <c r="M2292" s="5" t="s">
        <v>1879</v>
      </c>
      <c r="N2292" s="5" t="s">
        <v>24</v>
      </c>
      <c r="O2292" s="5" t="s">
        <v>25</v>
      </c>
    </row>
    <row r="2293" spans="1:15">
      <c r="A2293" s="5" t="s">
        <v>15</v>
      </c>
      <c r="B2293" s="5" t="str">
        <f>"FES1162742300"</f>
        <v>FES1162742300</v>
      </c>
      <c r="C2293" s="5" t="s">
        <v>1666</v>
      </c>
      <c r="D2293" s="5">
        <v>1</v>
      </c>
      <c r="E2293" s="5" t="str">
        <f>"2170733790"</f>
        <v>2170733790</v>
      </c>
      <c r="F2293" s="5" t="s">
        <v>17</v>
      </c>
      <c r="G2293" s="5" t="s">
        <v>18</v>
      </c>
      <c r="H2293" s="5" t="s">
        <v>18</v>
      </c>
      <c r="I2293" s="5" t="s">
        <v>151</v>
      </c>
      <c r="J2293" s="5" t="s">
        <v>1757</v>
      </c>
      <c r="K2293" s="5" t="s">
        <v>1845</v>
      </c>
      <c r="L2293" s="6">
        <v>0.33333333333333331</v>
      </c>
      <c r="M2293" s="5" t="s">
        <v>1880</v>
      </c>
      <c r="N2293" s="5" t="s">
        <v>24</v>
      </c>
      <c r="O2293" s="5" t="s">
        <v>25</v>
      </c>
    </row>
    <row r="2294" spans="1:15">
      <c r="A2294" s="5" t="s">
        <v>15</v>
      </c>
      <c r="B2294" s="5" t="str">
        <f>"FES1162742305"</f>
        <v>FES1162742305</v>
      </c>
      <c r="C2294" s="5" t="s">
        <v>1666</v>
      </c>
      <c r="D2294" s="5">
        <v>1</v>
      </c>
      <c r="E2294" s="5" t="str">
        <f>"2170733812"</f>
        <v>2170733812</v>
      </c>
      <c r="F2294" s="5" t="s">
        <v>17</v>
      </c>
      <c r="G2294" s="5" t="s">
        <v>18</v>
      </c>
      <c r="H2294" s="5" t="s">
        <v>18</v>
      </c>
      <c r="I2294" s="5" t="s">
        <v>171</v>
      </c>
      <c r="J2294" s="5" t="s">
        <v>204</v>
      </c>
      <c r="K2294" s="5" t="s">
        <v>1845</v>
      </c>
      <c r="L2294" s="6">
        <v>0.33333333333333331</v>
      </c>
      <c r="M2294" s="5" t="s">
        <v>1881</v>
      </c>
      <c r="N2294" s="5" t="s">
        <v>24</v>
      </c>
      <c r="O2294" s="5" t="s">
        <v>25</v>
      </c>
    </row>
    <row r="2295" spans="1:15">
      <c r="A2295" s="5" t="s">
        <v>15</v>
      </c>
      <c r="B2295" s="5" t="str">
        <f>"FES1162742317"</f>
        <v>FES1162742317</v>
      </c>
      <c r="C2295" s="5" t="s">
        <v>1666</v>
      </c>
      <c r="D2295" s="5">
        <v>1</v>
      </c>
      <c r="E2295" s="5" t="str">
        <f>"2170733828"</f>
        <v>2170733828</v>
      </c>
      <c r="F2295" s="5" t="s">
        <v>17</v>
      </c>
      <c r="G2295" s="5" t="s">
        <v>18</v>
      </c>
      <c r="H2295" s="5" t="s">
        <v>18</v>
      </c>
      <c r="I2295" s="5" t="s">
        <v>33</v>
      </c>
      <c r="J2295" s="5" t="s">
        <v>1882</v>
      </c>
      <c r="K2295" s="5" t="s">
        <v>1845</v>
      </c>
      <c r="L2295" s="6">
        <v>0.40208333333333335</v>
      </c>
      <c r="M2295" s="5" t="s">
        <v>1883</v>
      </c>
      <c r="N2295" s="5" t="s">
        <v>24</v>
      </c>
      <c r="O2295" s="5" t="s">
        <v>25</v>
      </c>
    </row>
    <row r="2296" spans="1:15">
      <c r="A2296" s="5" t="s">
        <v>15</v>
      </c>
      <c r="B2296" s="5" t="str">
        <f>"FES1162742367"</f>
        <v>FES1162742367</v>
      </c>
      <c r="C2296" s="5" t="s">
        <v>1666</v>
      </c>
      <c r="D2296" s="5">
        <v>1</v>
      </c>
      <c r="E2296" s="5" t="str">
        <f>"2170732181"</f>
        <v>2170732181</v>
      </c>
      <c r="F2296" s="5" t="s">
        <v>17</v>
      </c>
      <c r="G2296" s="5" t="s">
        <v>18</v>
      </c>
      <c r="H2296" s="5" t="s">
        <v>18</v>
      </c>
      <c r="I2296" s="5" t="s">
        <v>29</v>
      </c>
      <c r="J2296" s="5" t="s">
        <v>356</v>
      </c>
      <c r="K2296" s="5" t="s">
        <v>1845</v>
      </c>
      <c r="L2296" s="6">
        <v>0.3527777777777778</v>
      </c>
      <c r="M2296" s="5" t="s">
        <v>1884</v>
      </c>
      <c r="N2296" s="5" t="s">
        <v>24</v>
      </c>
      <c r="O2296" s="5" t="s">
        <v>25</v>
      </c>
    </row>
    <row r="2297" spans="1:15">
      <c r="A2297" s="5" t="s">
        <v>15</v>
      </c>
      <c r="B2297" s="5" t="str">
        <f>"FES1162742371"</f>
        <v>FES1162742371</v>
      </c>
      <c r="C2297" s="5" t="s">
        <v>1666</v>
      </c>
      <c r="D2297" s="5">
        <v>1</v>
      </c>
      <c r="E2297" s="5" t="str">
        <f>"2170733886"</f>
        <v>2170733886</v>
      </c>
      <c r="F2297" s="5" t="s">
        <v>17</v>
      </c>
      <c r="G2297" s="5" t="s">
        <v>18</v>
      </c>
      <c r="H2297" s="5" t="s">
        <v>18</v>
      </c>
      <c r="I2297" s="5" t="s">
        <v>338</v>
      </c>
      <c r="J2297" s="5" t="s">
        <v>1064</v>
      </c>
      <c r="K2297" s="5" t="s">
        <v>1845</v>
      </c>
      <c r="L2297" s="6">
        <v>0.375</v>
      </c>
      <c r="M2297" s="5" t="s">
        <v>1885</v>
      </c>
      <c r="N2297" s="5" t="s">
        <v>24</v>
      </c>
      <c r="O2297" s="5" t="s">
        <v>25</v>
      </c>
    </row>
    <row r="2298" spans="1:15">
      <c r="A2298" s="5" t="s">
        <v>15</v>
      </c>
      <c r="B2298" s="5" t="str">
        <f>"FES1162742290"</f>
        <v>FES1162742290</v>
      </c>
      <c r="C2298" s="5" t="s">
        <v>1666</v>
      </c>
      <c r="D2298" s="5">
        <v>1</v>
      </c>
      <c r="E2298" s="5" t="str">
        <f>"2170731302"</f>
        <v>2170731302</v>
      </c>
      <c r="F2298" s="5" t="s">
        <v>17</v>
      </c>
      <c r="G2298" s="5" t="s">
        <v>18</v>
      </c>
      <c r="H2298" s="5" t="s">
        <v>66</v>
      </c>
      <c r="I2298" s="5" t="s">
        <v>67</v>
      </c>
      <c r="J2298" s="5" t="s">
        <v>298</v>
      </c>
      <c r="K2298" s="5" t="s">
        <v>1845</v>
      </c>
      <c r="L2298" s="6">
        <v>0.38750000000000001</v>
      </c>
      <c r="M2298" s="5" t="s">
        <v>1886</v>
      </c>
      <c r="N2298" s="5" t="s">
        <v>24</v>
      </c>
      <c r="O2298" s="5" t="s">
        <v>25</v>
      </c>
    </row>
    <row r="2299" spans="1:15">
      <c r="A2299" s="5" t="s">
        <v>15</v>
      </c>
      <c r="B2299" s="5" t="str">
        <f>"FES1162742364"</f>
        <v>FES1162742364</v>
      </c>
      <c r="C2299" s="5" t="s">
        <v>1666</v>
      </c>
      <c r="D2299" s="5">
        <v>1</v>
      </c>
      <c r="E2299" s="5" t="str">
        <f>"2170731666"</f>
        <v>2170731666</v>
      </c>
      <c r="F2299" s="5" t="s">
        <v>17</v>
      </c>
      <c r="G2299" s="5" t="s">
        <v>18</v>
      </c>
      <c r="H2299" s="5" t="s">
        <v>46</v>
      </c>
      <c r="I2299" s="5" t="s">
        <v>47</v>
      </c>
      <c r="J2299" s="5" t="s">
        <v>48</v>
      </c>
      <c r="K2299" s="5" t="s">
        <v>1845</v>
      </c>
      <c r="L2299" s="6">
        <v>0.43402777777777773</v>
      </c>
      <c r="M2299" s="5" t="s">
        <v>1887</v>
      </c>
      <c r="N2299" s="5" t="s">
        <v>24</v>
      </c>
      <c r="O2299" s="5" t="s">
        <v>25</v>
      </c>
    </row>
    <row r="2300" spans="1:15">
      <c r="A2300" s="5" t="s">
        <v>15</v>
      </c>
      <c r="B2300" s="5" t="str">
        <f>"FES1162742314"</f>
        <v>FES1162742314</v>
      </c>
      <c r="C2300" s="5" t="s">
        <v>1666</v>
      </c>
      <c r="D2300" s="5">
        <v>1</v>
      </c>
      <c r="E2300" s="5" t="str">
        <f>"2170733822"</f>
        <v>2170733822</v>
      </c>
      <c r="F2300" s="5" t="s">
        <v>17</v>
      </c>
      <c r="G2300" s="5" t="s">
        <v>18</v>
      </c>
      <c r="H2300" s="5" t="s">
        <v>46</v>
      </c>
      <c r="I2300" s="5" t="s">
        <v>47</v>
      </c>
      <c r="J2300" s="5" t="s">
        <v>241</v>
      </c>
      <c r="K2300" s="5" t="s">
        <v>1845</v>
      </c>
      <c r="L2300" s="6">
        <v>0.43402777777777773</v>
      </c>
      <c r="M2300" s="5" t="s">
        <v>1850</v>
      </c>
      <c r="N2300" s="5" t="s">
        <v>24</v>
      </c>
      <c r="O2300" s="5" t="s">
        <v>25</v>
      </c>
    </row>
    <row r="2301" spans="1:15">
      <c r="A2301" s="3" t="s">
        <v>15</v>
      </c>
      <c r="B2301" s="3" t="str">
        <f>"FES1162742330"</f>
        <v>FES1162742330</v>
      </c>
      <c r="C2301" s="3" t="s">
        <v>1666</v>
      </c>
      <c r="D2301" s="3">
        <v>1</v>
      </c>
      <c r="E2301" s="3" t="str">
        <f>"2170733846"</f>
        <v>2170733846</v>
      </c>
      <c r="F2301" s="3" t="s">
        <v>17</v>
      </c>
      <c r="G2301" s="3" t="s">
        <v>18</v>
      </c>
      <c r="H2301" s="3" t="s">
        <v>36</v>
      </c>
      <c r="I2301" s="3" t="s">
        <v>330</v>
      </c>
      <c r="J2301" s="3" t="s">
        <v>331</v>
      </c>
      <c r="K2301" s="3" t="s">
        <v>1845</v>
      </c>
      <c r="L2301" s="4">
        <v>0.38125000000000003</v>
      </c>
      <c r="M2301" s="3" t="s">
        <v>332</v>
      </c>
      <c r="N2301" s="3" t="s">
        <v>24</v>
      </c>
      <c r="O2301" s="3" t="s">
        <v>25</v>
      </c>
    </row>
    <row r="2302" spans="1:15">
      <c r="A2302" s="3" t="s">
        <v>15</v>
      </c>
      <c r="B2302" s="3" t="str">
        <f>"FES1162742332"</f>
        <v>FES1162742332</v>
      </c>
      <c r="C2302" s="3" t="s">
        <v>1666</v>
      </c>
      <c r="D2302" s="3">
        <v>1</v>
      </c>
      <c r="E2302" s="3" t="str">
        <f>"2170730601"</f>
        <v>2170730601</v>
      </c>
      <c r="F2302" s="3" t="s">
        <v>17</v>
      </c>
      <c r="G2302" s="3" t="s">
        <v>18</v>
      </c>
      <c r="H2302" s="3" t="s">
        <v>36</v>
      </c>
      <c r="I2302" s="3" t="s">
        <v>37</v>
      </c>
      <c r="J2302" s="3" t="s">
        <v>187</v>
      </c>
      <c r="K2302" s="3" t="s">
        <v>1845</v>
      </c>
      <c r="L2302" s="4">
        <v>0.33888888888888885</v>
      </c>
      <c r="M2302" s="3" t="s">
        <v>1774</v>
      </c>
      <c r="N2302" s="3" t="s">
        <v>24</v>
      </c>
      <c r="O2302" s="3" t="s">
        <v>25</v>
      </c>
    </row>
    <row r="2303" spans="1:15">
      <c r="A2303" s="3" t="s">
        <v>15</v>
      </c>
      <c r="B2303" s="3" t="str">
        <f>"FES1162742347"</f>
        <v>FES1162742347</v>
      </c>
      <c r="C2303" s="3" t="s">
        <v>1666</v>
      </c>
      <c r="D2303" s="3">
        <v>1</v>
      </c>
      <c r="E2303" s="3" t="str">
        <f>"2170733864"</f>
        <v>2170733864</v>
      </c>
      <c r="F2303" s="3" t="s">
        <v>17</v>
      </c>
      <c r="G2303" s="3" t="s">
        <v>18</v>
      </c>
      <c r="H2303" s="3" t="s">
        <v>66</v>
      </c>
      <c r="I2303" s="3" t="s">
        <v>67</v>
      </c>
      <c r="J2303" s="3" t="s">
        <v>1867</v>
      </c>
      <c r="K2303" s="3" t="s">
        <v>1845</v>
      </c>
      <c r="L2303" s="4">
        <v>0.35347222222222219</v>
      </c>
      <c r="M2303" s="3" t="s">
        <v>1868</v>
      </c>
      <c r="N2303" s="3" t="s">
        <v>24</v>
      </c>
      <c r="O2303" s="3" t="s">
        <v>25</v>
      </c>
    </row>
    <row r="2304" spans="1:15">
      <c r="A2304" s="5" t="s">
        <v>15</v>
      </c>
      <c r="B2304" s="5" t="str">
        <f>"FES1162742342"</f>
        <v>FES1162742342</v>
      </c>
      <c r="C2304" s="5" t="s">
        <v>1666</v>
      </c>
      <c r="D2304" s="5">
        <v>1</v>
      </c>
      <c r="E2304" s="5" t="str">
        <f>"2170733863"</f>
        <v>2170733863</v>
      </c>
      <c r="F2304" s="5" t="s">
        <v>17</v>
      </c>
      <c r="G2304" s="5" t="s">
        <v>18</v>
      </c>
      <c r="H2304" s="5" t="s">
        <v>66</v>
      </c>
      <c r="I2304" s="5" t="s">
        <v>67</v>
      </c>
      <c r="J2304" s="5" t="s">
        <v>1867</v>
      </c>
      <c r="K2304" s="5" t="s">
        <v>1845</v>
      </c>
      <c r="L2304" s="6">
        <v>0.35347222222222219</v>
      </c>
      <c r="M2304" s="5" t="s">
        <v>1868</v>
      </c>
      <c r="N2304" s="5" t="s">
        <v>24</v>
      </c>
      <c r="O2304" s="5" t="s">
        <v>25</v>
      </c>
    </row>
    <row r="2305" spans="1:15">
      <c r="A2305" s="5" t="s">
        <v>15</v>
      </c>
      <c r="B2305" s="5" t="str">
        <f>"FES1162742326"</f>
        <v>FES1162742326</v>
      </c>
      <c r="C2305" s="5" t="s">
        <v>1666</v>
      </c>
      <c r="D2305" s="5">
        <v>1</v>
      </c>
      <c r="E2305" s="5" t="str">
        <f>"2170733841"</f>
        <v>2170733841</v>
      </c>
      <c r="F2305" s="5" t="s">
        <v>17</v>
      </c>
      <c r="G2305" s="5" t="s">
        <v>18</v>
      </c>
      <c r="H2305" s="5" t="s">
        <v>19</v>
      </c>
      <c r="I2305" s="5" t="s">
        <v>20</v>
      </c>
      <c r="J2305" s="5" t="s">
        <v>1141</v>
      </c>
      <c r="K2305" s="5" t="s">
        <v>1845</v>
      </c>
      <c r="L2305" s="6">
        <v>0.38472222222222219</v>
      </c>
      <c r="M2305" s="5" t="s">
        <v>1888</v>
      </c>
      <c r="N2305" s="5" t="s">
        <v>24</v>
      </c>
      <c r="O2305" s="5" t="s">
        <v>25</v>
      </c>
    </row>
    <row r="2306" spans="1:15">
      <c r="A2306" s="5" t="s">
        <v>15</v>
      </c>
      <c r="B2306" s="5" t="str">
        <f>"FES1162742333"</f>
        <v>FES1162742333</v>
      </c>
      <c r="C2306" s="5" t="s">
        <v>1666</v>
      </c>
      <c r="D2306" s="5">
        <v>1</v>
      </c>
      <c r="E2306" s="5" t="str">
        <f>"2170733849"</f>
        <v>2170733849</v>
      </c>
      <c r="F2306" s="5" t="s">
        <v>17</v>
      </c>
      <c r="G2306" s="5" t="s">
        <v>18</v>
      </c>
      <c r="H2306" s="5" t="s">
        <v>19</v>
      </c>
      <c r="I2306" s="5" t="s">
        <v>20</v>
      </c>
      <c r="J2306" s="5" t="s">
        <v>358</v>
      </c>
      <c r="K2306" s="5" t="s">
        <v>1845</v>
      </c>
      <c r="L2306" s="6">
        <v>0.38472222222222219</v>
      </c>
      <c r="M2306" s="5" t="s">
        <v>1889</v>
      </c>
      <c r="N2306" s="5" t="s">
        <v>24</v>
      </c>
      <c r="O2306" s="5" t="s">
        <v>449</v>
      </c>
    </row>
    <row r="2307" spans="1:15">
      <c r="A2307" s="5" t="s">
        <v>15</v>
      </c>
      <c r="B2307" s="5" t="str">
        <f>"FES1162742357"</f>
        <v>FES1162742357</v>
      </c>
      <c r="C2307" s="5" t="s">
        <v>1666</v>
      </c>
      <c r="D2307" s="5">
        <v>1</v>
      </c>
      <c r="E2307" s="5" t="str">
        <f>"2170733882"</f>
        <v>2170733882</v>
      </c>
      <c r="F2307" s="5" t="s">
        <v>17</v>
      </c>
      <c r="G2307" s="5" t="s">
        <v>18</v>
      </c>
      <c r="H2307" s="5" t="s">
        <v>70</v>
      </c>
      <c r="I2307" s="5" t="s">
        <v>71</v>
      </c>
      <c r="J2307" s="5" t="s">
        <v>671</v>
      </c>
      <c r="K2307" s="5" t="s">
        <v>1845</v>
      </c>
      <c r="L2307" s="6">
        <v>0.39305555555555555</v>
      </c>
      <c r="M2307" s="5" t="s">
        <v>1208</v>
      </c>
      <c r="N2307" s="5" t="s">
        <v>24</v>
      </c>
      <c r="O2307" s="5" t="s">
        <v>25</v>
      </c>
    </row>
    <row r="2308" spans="1:15">
      <c r="A2308" s="5" t="s">
        <v>15</v>
      </c>
      <c r="B2308" s="5" t="str">
        <f>"FES1162742355"</f>
        <v>FES1162742355</v>
      </c>
      <c r="C2308" s="5" t="s">
        <v>1666</v>
      </c>
      <c r="D2308" s="5">
        <v>1</v>
      </c>
      <c r="E2308" s="5" t="str">
        <f>"2170733878"</f>
        <v>2170733878</v>
      </c>
      <c r="F2308" s="5" t="s">
        <v>17</v>
      </c>
      <c r="G2308" s="5" t="s">
        <v>18</v>
      </c>
      <c r="H2308" s="5" t="s">
        <v>19</v>
      </c>
      <c r="I2308" s="5" t="s">
        <v>236</v>
      </c>
      <c r="J2308" s="5" t="s">
        <v>257</v>
      </c>
      <c r="K2308" s="5" t="s">
        <v>1845</v>
      </c>
      <c r="L2308" s="6">
        <v>0.3576388888888889</v>
      </c>
      <c r="M2308" s="5" t="s">
        <v>258</v>
      </c>
      <c r="N2308" s="5" t="s">
        <v>24</v>
      </c>
      <c r="O2308" s="5" t="s">
        <v>25</v>
      </c>
    </row>
    <row r="2309" spans="1:15">
      <c r="A2309" s="5" t="s">
        <v>15</v>
      </c>
      <c r="B2309" s="5" t="str">
        <f>"FES1162742353"</f>
        <v>FES1162742353</v>
      </c>
      <c r="C2309" s="5" t="s">
        <v>1666</v>
      </c>
      <c r="D2309" s="5">
        <v>1</v>
      </c>
      <c r="E2309" s="5" t="str">
        <f>"2170733876"</f>
        <v>2170733876</v>
      </c>
      <c r="F2309" s="5" t="s">
        <v>17</v>
      </c>
      <c r="G2309" s="5" t="s">
        <v>18</v>
      </c>
      <c r="H2309" s="5" t="s">
        <v>70</v>
      </c>
      <c r="I2309" s="5" t="s">
        <v>931</v>
      </c>
      <c r="J2309" s="5" t="s">
        <v>1569</v>
      </c>
      <c r="K2309" s="5" t="s">
        <v>1845</v>
      </c>
      <c r="L2309" s="6">
        <v>0.50694444444444442</v>
      </c>
      <c r="M2309" s="5" t="s">
        <v>1570</v>
      </c>
      <c r="N2309" s="5" t="s">
        <v>24</v>
      </c>
      <c r="O2309" s="5" t="s">
        <v>25</v>
      </c>
    </row>
    <row r="2310" spans="1:15">
      <c r="A2310" s="5" t="s">
        <v>15</v>
      </c>
      <c r="B2310" s="5" t="str">
        <f>"FES1162742323"</f>
        <v>FES1162742323</v>
      </c>
      <c r="C2310" s="5" t="s">
        <v>1666</v>
      </c>
      <c r="D2310" s="5">
        <v>1</v>
      </c>
      <c r="E2310" s="5" t="str">
        <f>"270733837"</f>
        <v>270733837</v>
      </c>
      <c r="F2310" s="5" t="s">
        <v>17</v>
      </c>
      <c r="G2310" s="5" t="s">
        <v>18</v>
      </c>
      <c r="H2310" s="5" t="s">
        <v>19</v>
      </c>
      <c r="I2310" s="5" t="s">
        <v>51</v>
      </c>
      <c r="J2310" s="5" t="s">
        <v>458</v>
      </c>
      <c r="K2310" s="5" t="s">
        <v>1845</v>
      </c>
      <c r="L2310" s="6">
        <v>0.39583333333333331</v>
      </c>
      <c r="M2310" s="5" t="s">
        <v>1890</v>
      </c>
      <c r="N2310" s="5" t="s">
        <v>24</v>
      </c>
      <c r="O2310" s="5" t="s">
        <v>25</v>
      </c>
    </row>
    <row r="2311" spans="1:15">
      <c r="A2311" s="5" t="s">
        <v>15</v>
      </c>
      <c r="B2311" s="5" t="str">
        <f>"FES1167422334"</f>
        <v>FES1167422334</v>
      </c>
      <c r="C2311" s="5" t="s">
        <v>1666</v>
      </c>
      <c r="D2311" s="5">
        <v>1</v>
      </c>
      <c r="E2311" s="5" t="str">
        <f>"2170733853"</f>
        <v>2170733853</v>
      </c>
      <c r="F2311" s="5" t="s">
        <v>17</v>
      </c>
      <c r="G2311" s="5" t="s">
        <v>18</v>
      </c>
      <c r="H2311" s="5" t="s">
        <v>19</v>
      </c>
      <c r="I2311" s="5" t="s">
        <v>20</v>
      </c>
      <c r="J2311" s="5" t="s">
        <v>60</v>
      </c>
      <c r="K2311" s="5" t="s">
        <v>1845</v>
      </c>
      <c r="L2311" s="6">
        <v>0.33680555555555558</v>
      </c>
      <c r="M2311" s="5" t="s">
        <v>1891</v>
      </c>
      <c r="N2311" s="5" t="s">
        <v>24</v>
      </c>
      <c r="O2311" s="5" t="s">
        <v>25</v>
      </c>
    </row>
    <row r="2312" spans="1:15">
      <c r="A2312" s="5" t="s">
        <v>15</v>
      </c>
      <c r="B2312" s="5" t="str">
        <f>"FES1162742349"</f>
        <v>FES1162742349</v>
      </c>
      <c r="C2312" s="5" t="s">
        <v>1666</v>
      </c>
      <c r="D2312" s="5">
        <v>1</v>
      </c>
      <c r="E2312" s="5" t="str">
        <f>"2170733871"</f>
        <v>2170733871</v>
      </c>
      <c r="F2312" s="5" t="s">
        <v>17</v>
      </c>
      <c r="G2312" s="5" t="s">
        <v>18</v>
      </c>
      <c r="H2312" s="5" t="s">
        <v>19</v>
      </c>
      <c r="I2312" s="5" t="s">
        <v>20</v>
      </c>
      <c r="J2312" s="5" t="s">
        <v>1141</v>
      </c>
      <c r="K2312" s="5" t="s">
        <v>1845</v>
      </c>
      <c r="L2312" s="6">
        <v>0.39652777777777781</v>
      </c>
      <c r="M2312" s="5" t="s">
        <v>1892</v>
      </c>
      <c r="N2312" s="5" t="s">
        <v>24</v>
      </c>
      <c r="O2312" s="5" t="s">
        <v>25</v>
      </c>
    </row>
    <row r="2313" spans="1:15">
      <c r="A2313" s="5" t="s">
        <v>15</v>
      </c>
      <c r="B2313" s="5" t="str">
        <f>"FES1162742391"</f>
        <v>FES1162742391</v>
      </c>
      <c r="C2313" s="5" t="s">
        <v>1666</v>
      </c>
      <c r="D2313" s="5">
        <v>1</v>
      </c>
      <c r="E2313" s="5" t="str">
        <f>"2170733905"</f>
        <v>2170733905</v>
      </c>
      <c r="F2313" s="5" t="s">
        <v>17</v>
      </c>
      <c r="G2313" s="5" t="s">
        <v>18</v>
      </c>
      <c r="H2313" s="5" t="s">
        <v>1304</v>
      </c>
      <c r="I2313" s="5" t="s">
        <v>117</v>
      </c>
      <c r="J2313" s="5" t="s">
        <v>335</v>
      </c>
      <c r="K2313" s="5" t="s">
        <v>1845</v>
      </c>
      <c r="L2313" s="6">
        <v>0.50347222222222221</v>
      </c>
      <c r="M2313" s="5" t="s">
        <v>336</v>
      </c>
      <c r="N2313" s="5" t="s">
        <v>24</v>
      </c>
      <c r="O2313" s="5" t="s">
        <v>25</v>
      </c>
    </row>
    <row r="2314" spans="1:15">
      <c r="A2314" s="5" t="s">
        <v>15</v>
      </c>
      <c r="B2314" s="5" t="str">
        <f>"FES1162742376"</f>
        <v>FES1162742376</v>
      </c>
      <c r="C2314" s="5" t="s">
        <v>1666</v>
      </c>
      <c r="D2314" s="5">
        <v>1</v>
      </c>
      <c r="E2314" s="5" t="str">
        <f>"2170733895"</f>
        <v>2170733895</v>
      </c>
      <c r="F2314" s="5" t="s">
        <v>17</v>
      </c>
      <c r="G2314" s="5" t="s">
        <v>18</v>
      </c>
      <c r="H2314" s="5" t="s">
        <v>18</v>
      </c>
      <c r="I2314" s="5" t="s">
        <v>33</v>
      </c>
      <c r="J2314" s="5" t="s">
        <v>34</v>
      </c>
      <c r="K2314" s="5" t="s">
        <v>1845</v>
      </c>
      <c r="L2314" s="6">
        <v>0.50347222222222221</v>
      </c>
      <c r="M2314" s="5" t="s">
        <v>1893</v>
      </c>
      <c r="N2314" s="5" t="s">
        <v>24</v>
      </c>
      <c r="O2314" s="5" t="s">
        <v>25</v>
      </c>
    </row>
    <row r="2315" spans="1:15">
      <c r="A2315" s="5" t="s">
        <v>15</v>
      </c>
      <c r="B2315" s="5" t="str">
        <f>"FES1162742331"</f>
        <v>FES1162742331</v>
      </c>
      <c r="C2315" s="5" t="s">
        <v>1666</v>
      </c>
      <c r="D2315" s="5">
        <v>1</v>
      </c>
      <c r="E2315" s="5" t="str">
        <f>"21707338489"</f>
        <v>21707338489</v>
      </c>
      <c r="F2315" s="5" t="s">
        <v>17</v>
      </c>
      <c r="G2315" s="5" t="s">
        <v>18</v>
      </c>
      <c r="H2315" s="5" t="s">
        <v>19</v>
      </c>
      <c r="I2315" s="5" t="s">
        <v>20</v>
      </c>
      <c r="J2315" s="5" t="s">
        <v>576</v>
      </c>
      <c r="K2315" s="5" t="s">
        <v>1845</v>
      </c>
      <c r="L2315" s="6">
        <v>0.38958333333333334</v>
      </c>
      <c r="M2315" s="5" t="s">
        <v>577</v>
      </c>
      <c r="N2315" s="5" t="s">
        <v>24</v>
      </c>
      <c r="O2315" s="5" t="s">
        <v>25</v>
      </c>
    </row>
    <row r="2316" spans="1:15">
      <c r="A2316" s="5" t="s">
        <v>15</v>
      </c>
      <c r="B2316" s="5" t="str">
        <f>"FES1162742322"</f>
        <v>FES1162742322</v>
      </c>
      <c r="C2316" s="5" t="s">
        <v>1666</v>
      </c>
      <c r="D2316" s="5">
        <v>1</v>
      </c>
      <c r="E2316" s="5" t="str">
        <f>"2170733835"</f>
        <v>2170733835</v>
      </c>
      <c r="F2316" s="5" t="s">
        <v>17</v>
      </c>
      <c r="G2316" s="5" t="s">
        <v>18</v>
      </c>
      <c r="H2316" s="5" t="s">
        <v>19</v>
      </c>
      <c r="I2316" s="5" t="s">
        <v>20</v>
      </c>
      <c r="J2316" s="5" t="s">
        <v>1422</v>
      </c>
      <c r="K2316" s="5" t="s">
        <v>1845</v>
      </c>
      <c r="L2316" s="6">
        <v>0.33819444444444446</v>
      </c>
      <c r="M2316" s="5" t="s">
        <v>59</v>
      </c>
      <c r="N2316" s="5" t="s">
        <v>24</v>
      </c>
      <c r="O2316" s="5" t="s">
        <v>25</v>
      </c>
    </row>
    <row r="2317" spans="1:15">
      <c r="A2317" s="5" t="s">
        <v>15</v>
      </c>
      <c r="B2317" s="5" t="str">
        <f>"FES1162742294"</f>
        <v>FES1162742294</v>
      </c>
      <c r="C2317" s="5" t="s">
        <v>1666</v>
      </c>
      <c r="D2317" s="5">
        <v>1</v>
      </c>
      <c r="E2317" s="5" t="str">
        <f>"2170732885"</f>
        <v>2170732885</v>
      </c>
      <c r="F2317" s="5" t="s">
        <v>17</v>
      </c>
      <c r="G2317" s="5" t="s">
        <v>18</v>
      </c>
      <c r="H2317" s="5" t="s">
        <v>70</v>
      </c>
      <c r="I2317" s="5" t="s">
        <v>71</v>
      </c>
      <c r="J2317" s="5" t="s">
        <v>248</v>
      </c>
      <c r="K2317" s="5" t="s">
        <v>1845</v>
      </c>
      <c r="L2317" s="6">
        <v>0.39305555555555555</v>
      </c>
      <c r="M2317" s="5" t="s">
        <v>1208</v>
      </c>
      <c r="N2317" s="5" t="s">
        <v>24</v>
      </c>
      <c r="O2317" s="5" t="s">
        <v>25</v>
      </c>
    </row>
    <row r="2318" spans="1:15">
      <c r="A2318" s="5" t="s">
        <v>15</v>
      </c>
      <c r="B2318" s="5" t="str">
        <f>"FES1162742370"</f>
        <v>FES1162742370</v>
      </c>
      <c r="C2318" s="5" t="s">
        <v>1666</v>
      </c>
      <c r="D2318" s="5">
        <v>1</v>
      </c>
      <c r="E2318" s="5" t="str">
        <f>"2170732885"</f>
        <v>2170732885</v>
      </c>
      <c r="F2318" s="5" t="s">
        <v>17</v>
      </c>
      <c r="G2318" s="5" t="s">
        <v>18</v>
      </c>
      <c r="H2318" s="5" t="s">
        <v>70</v>
      </c>
      <c r="I2318" s="5" t="s">
        <v>71</v>
      </c>
      <c r="J2318" s="5" t="s">
        <v>248</v>
      </c>
      <c r="K2318" s="5" t="s">
        <v>1845</v>
      </c>
      <c r="L2318" s="6">
        <v>0.39305555555555555</v>
      </c>
      <c r="M2318" s="5" t="s">
        <v>1208</v>
      </c>
      <c r="N2318" s="5" t="s">
        <v>24</v>
      </c>
      <c r="O2318" s="5" t="s">
        <v>25</v>
      </c>
    </row>
    <row r="2319" spans="1:15">
      <c r="A2319" s="3" t="s">
        <v>15</v>
      </c>
      <c r="B2319" s="3" t="str">
        <f>"FES1162742438"</f>
        <v>FES1162742438</v>
      </c>
      <c r="C2319" s="3" t="s">
        <v>1666</v>
      </c>
      <c r="D2319" s="3">
        <v>1</v>
      </c>
      <c r="E2319" s="3" t="str">
        <f>"217072607"</f>
        <v>217072607</v>
      </c>
      <c r="F2319" s="3" t="s">
        <v>17</v>
      </c>
      <c r="G2319" s="3" t="s">
        <v>18</v>
      </c>
      <c r="H2319" s="3" t="s">
        <v>19</v>
      </c>
      <c r="I2319" s="3" t="s">
        <v>20</v>
      </c>
      <c r="J2319" s="3" t="s">
        <v>56</v>
      </c>
      <c r="K2319" s="3" t="s">
        <v>1845</v>
      </c>
      <c r="L2319" s="4">
        <v>0.36458333333333331</v>
      </c>
      <c r="M2319" s="3" t="s">
        <v>57</v>
      </c>
      <c r="N2319" s="3" t="s">
        <v>24</v>
      </c>
      <c r="O2319" s="3" t="s">
        <v>25</v>
      </c>
    </row>
    <row r="2320" spans="1:15">
      <c r="A2320" s="3" t="s">
        <v>15</v>
      </c>
      <c r="B2320" s="3" t="str">
        <f>"FES1162742480"</f>
        <v>FES1162742480</v>
      </c>
      <c r="C2320" s="3" t="s">
        <v>1666</v>
      </c>
      <c r="D2320" s="3">
        <v>1</v>
      </c>
      <c r="E2320" s="3" t="str">
        <f>"2170733992"</f>
        <v>2170733992</v>
      </c>
      <c r="F2320" s="3" t="s">
        <v>17</v>
      </c>
      <c r="G2320" s="3" t="s">
        <v>18</v>
      </c>
      <c r="H2320" s="3" t="s">
        <v>36</v>
      </c>
      <c r="I2320" s="3" t="s">
        <v>37</v>
      </c>
      <c r="J2320" s="3" t="s">
        <v>943</v>
      </c>
      <c r="K2320" s="3" t="s">
        <v>1845</v>
      </c>
      <c r="L2320" s="4">
        <v>0.41041666666666665</v>
      </c>
      <c r="M2320" s="3" t="s">
        <v>1894</v>
      </c>
      <c r="N2320" s="3" t="s">
        <v>24</v>
      </c>
      <c r="O2320" s="3" t="s">
        <v>25</v>
      </c>
    </row>
    <row r="2321" spans="1:15">
      <c r="A2321" s="3" t="s">
        <v>15</v>
      </c>
      <c r="B2321" s="3" t="str">
        <f>"FES1162742429"</f>
        <v>FES1162742429</v>
      </c>
      <c r="C2321" s="3" t="s">
        <v>1666</v>
      </c>
      <c r="D2321" s="3">
        <v>1</v>
      </c>
      <c r="E2321" s="3" t="str">
        <f>"2170732012"</f>
        <v>2170732012</v>
      </c>
      <c r="F2321" s="3" t="s">
        <v>17</v>
      </c>
      <c r="G2321" s="3" t="s">
        <v>18</v>
      </c>
      <c r="H2321" s="3" t="s">
        <v>100</v>
      </c>
      <c r="I2321" s="3" t="s">
        <v>101</v>
      </c>
      <c r="J2321" s="3" t="s">
        <v>142</v>
      </c>
      <c r="K2321" s="3" t="s">
        <v>1845</v>
      </c>
      <c r="L2321" s="4">
        <v>0.35486111111111113</v>
      </c>
      <c r="M2321" s="3" t="s">
        <v>1869</v>
      </c>
      <c r="N2321" s="3" t="s">
        <v>24</v>
      </c>
      <c r="O2321" s="3" t="s">
        <v>25</v>
      </c>
    </row>
    <row r="2322" spans="1:15">
      <c r="A2322" s="3" t="s">
        <v>15</v>
      </c>
      <c r="B2322" s="3" t="str">
        <f>"FES1162742423"</f>
        <v>FES1162742423</v>
      </c>
      <c r="C2322" s="3" t="s">
        <v>1666</v>
      </c>
      <c r="D2322" s="3">
        <v>1</v>
      </c>
      <c r="E2322" s="3" t="str">
        <f>"2170727748"</f>
        <v>2170727748</v>
      </c>
      <c r="F2322" s="3" t="s">
        <v>17</v>
      </c>
      <c r="G2322" s="3" t="s">
        <v>18</v>
      </c>
      <c r="H2322" s="3" t="s">
        <v>100</v>
      </c>
      <c r="I2322" s="3" t="s">
        <v>117</v>
      </c>
      <c r="J2322" s="3" t="s">
        <v>285</v>
      </c>
      <c r="K2322" s="3" t="s">
        <v>1845</v>
      </c>
      <c r="L2322" s="4">
        <v>0.52013888888888882</v>
      </c>
      <c r="M2322" s="3" t="s">
        <v>1895</v>
      </c>
      <c r="N2322" s="3" t="s">
        <v>24</v>
      </c>
      <c r="O2322" s="3" t="s">
        <v>25</v>
      </c>
    </row>
    <row r="2323" spans="1:15">
      <c r="A2323" s="3" t="s">
        <v>15</v>
      </c>
      <c r="B2323" s="3" t="str">
        <f>"FES1162742422"</f>
        <v>FES1162742422</v>
      </c>
      <c r="C2323" s="3" t="s">
        <v>1666</v>
      </c>
      <c r="D2323" s="3">
        <v>1</v>
      </c>
      <c r="E2323" s="3" t="str">
        <f>"2170729469"</f>
        <v>2170729469</v>
      </c>
      <c r="F2323" s="3" t="s">
        <v>17</v>
      </c>
      <c r="G2323" s="3" t="s">
        <v>18</v>
      </c>
      <c r="H2323" s="3" t="s">
        <v>100</v>
      </c>
      <c r="I2323" s="3" t="s">
        <v>101</v>
      </c>
      <c r="J2323" s="3" t="s">
        <v>653</v>
      </c>
      <c r="K2323" s="3" t="s">
        <v>1845</v>
      </c>
      <c r="L2323" s="4">
        <v>0.3923611111111111</v>
      </c>
      <c r="M2323" s="3" t="s">
        <v>1896</v>
      </c>
      <c r="N2323" s="3" t="s">
        <v>24</v>
      </c>
      <c r="O2323" s="3" t="s">
        <v>25</v>
      </c>
    </row>
    <row r="2324" spans="1:15">
      <c r="A2324" s="3" t="s">
        <v>15</v>
      </c>
      <c r="B2324" s="3" t="str">
        <f>"FES1162742440"</f>
        <v>FES1162742440</v>
      </c>
      <c r="C2324" s="3" t="s">
        <v>1666</v>
      </c>
      <c r="D2324" s="3">
        <v>1</v>
      </c>
      <c r="E2324" s="3" t="str">
        <f>"2170733952"</f>
        <v>2170733952</v>
      </c>
      <c r="F2324" s="3" t="s">
        <v>17</v>
      </c>
      <c r="G2324" s="3" t="s">
        <v>18</v>
      </c>
      <c r="H2324" s="3" t="s">
        <v>18</v>
      </c>
      <c r="I2324" s="3" t="s">
        <v>206</v>
      </c>
      <c r="J2324" s="3" t="s">
        <v>207</v>
      </c>
      <c r="K2324" s="3" t="s">
        <v>1845</v>
      </c>
      <c r="L2324" s="4">
        <v>0.4375</v>
      </c>
      <c r="M2324" s="3" t="s">
        <v>439</v>
      </c>
      <c r="N2324" s="3" t="s">
        <v>24</v>
      </c>
      <c r="O2324" s="3" t="s">
        <v>25</v>
      </c>
    </row>
    <row r="2325" spans="1:15">
      <c r="A2325" s="3" t="s">
        <v>15</v>
      </c>
      <c r="B2325" s="3" t="str">
        <f>"FES1162742417"</f>
        <v>FES1162742417</v>
      </c>
      <c r="C2325" s="3" t="s">
        <v>1666</v>
      </c>
      <c r="D2325" s="3">
        <v>1</v>
      </c>
      <c r="E2325" s="3" t="str">
        <f>"2170733941"</f>
        <v>2170733941</v>
      </c>
      <c r="F2325" s="3" t="s">
        <v>17</v>
      </c>
      <c r="G2325" s="3" t="s">
        <v>18</v>
      </c>
      <c r="H2325" s="3" t="s">
        <v>18</v>
      </c>
      <c r="I2325" s="3" t="s">
        <v>171</v>
      </c>
      <c r="J2325" s="3" t="s">
        <v>884</v>
      </c>
      <c r="K2325" s="3" t="s">
        <v>1845</v>
      </c>
      <c r="L2325" s="4">
        <v>0.28750000000000003</v>
      </c>
      <c r="M2325" s="3" t="s">
        <v>1897</v>
      </c>
      <c r="N2325" s="3" t="s">
        <v>24</v>
      </c>
      <c r="O2325" s="3" t="s">
        <v>25</v>
      </c>
    </row>
    <row r="2326" spans="1:15">
      <c r="A2326" s="3" t="s">
        <v>15</v>
      </c>
      <c r="B2326" s="3" t="str">
        <f>"FES1162742403"</f>
        <v>FES1162742403</v>
      </c>
      <c r="C2326" s="3" t="s">
        <v>1666</v>
      </c>
      <c r="D2326" s="3">
        <v>1</v>
      </c>
      <c r="E2326" s="3" t="str">
        <f>"2170733920"</f>
        <v>2170733920</v>
      </c>
      <c r="F2326" s="3" t="s">
        <v>17</v>
      </c>
      <c r="G2326" s="3" t="s">
        <v>18</v>
      </c>
      <c r="H2326" s="3" t="s">
        <v>18</v>
      </c>
      <c r="I2326" s="3" t="s">
        <v>33</v>
      </c>
      <c r="J2326" s="3" t="s">
        <v>1898</v>
      </c>
      <c r="K2326" s="3" t="s">
        <v>1845</v>
      </c>
      <c r="L2326" s="4">
        <v>0.41666666666666669</v>
      </c>
      <c r="M2326" s="3" t="s">
        <v>1899</v>
      </c>
      <c r="N2326" s="3" t="s">
        <v>24</v>
      </c>
      <c r="O2326" s="3" t="s">
        <v>25</v>
      </c>
    </row>
    <row r="2327" spans="1:15">
      <c r="A2327" s="3" t="s">
        <v>15</v>
      </c>
      <c r="B2327" s="3" t="str">
        <f>"FES1162742426"</f>
        <v>FES1162742426</v>
      </c>
      <c r="C2327" s="3" t="s">
        <v>1666</v>
      </c>
      <c r="D2327" s="3">
        <v>1</v>
      </c>
      <c r="E2327" s="3" t="str">
        <f>"2170728255"</f>
        <v>2170728255</v>
      </c>
      <c r="F2327" s="3" t="s">
        <v>17</v>
      </c>
      <c r="G2327" s="3" t="s">
        <v>18</v>
      </c>
      <c r="H2327" s="3" t="s">
        <v>18</v>
      </c>
      <c r="I2327" s="3" t="s">
        <v>151</v>
      </c>
      <c r="J2327" s="3" t="s">
        <v>1900</v>
      </c>
      <c r="K2327" s="3" t="s">
        <v>1845</v>
      </c>
      <c r="L2327" s="4">
        <v>0.36458333333333331</v>
      </c>
      <c r="M2327" s="3" t="s">
        <v>1901</v>
      </c>
      <c r="N2327" s="3" t="s">
        <v>24</v>
      </c>
      <c r="O2327" s="3" t="s">
        <v>25</v>
      </c>
    </row>
    <row r="2328" spans="1:15">
      <c r="A2328" s="3" t="s">
        <v>15</v>
      </c>
      <c r="B2328" s="3" t="str">
        <f>"FES1162742484"</f>
        <v>FES1162742484</v>
      </c>
      <c r="C2328" s="3" t="s">
        <v>1666</v>
      </c>
      <c r="D2328" s="3">
        <v>1</v>
      </c>
      <c r="E2328" s="3" t="str">
        <f>"2170733234"</f>
        <v>2170733234</v>
      </c>
      <c r="F2328" s="3" t="s">
        <v>17</v>
      </c>
      <c r="G2328" s="3" t="s">
        <v>18</v>
      </c>
      <c r="H2328" s="3" t="s">
        <v>18</v>
      </c>
      <c r="I2328" s="3" t="s">
        <v>29</v>
      </c>
      <c r="J2328" s="3" t="s">
        <v>1902</v>
      </c>
      <c r="K2328" s="3" t="s">
        <v>1845</v>
      </c>
      <c r="L2328" s="4">
        <v>0.38263888888888892</v>
      </c>
      <c r="M2328" s="3" t="s">
        <v>1903</v>
      </c>
      <c r="N2328" s="3" t="s">
        <v>24</v>
      </c>
      <c r="O2328" s="3" t="s">
        <v>25</v>
      </c>
    </row>
    <row r="2329" spans="1:15">
      <c r="A2329" s="3" t="s">
        <v>15</v>
      </c>
      <c r="B2329" s="3" t="str">
        <f>"FES1162742324"</f>
        <v>FES1162742324</v>
      </c>
      <c r="C2329" s="3" t="s">
        <v>1666</v>
      </c>
      <c r="D2329" s="3">
        <v>1</v>
      </c>
      <c r="E2329" s="3" t="str">
        <f>"2170733838"</f>
        <v>2170733838</v>
      </c>
      <c r="F2329" s="3" t="s">
        <v>17</v>
      </c>
      <c r="G2329" s="3" t="s">
        <v>18</v>
      </c>
      <c r="H2329" s="3" t="s">
        <v>19</v>
      </c>
      <c r="I2329" s="3" t="s">
        <v>20</v>
      </c>
      <c r="J2329" s="3" t="s">
        <v>1141</v>
      </c>
      <c r="K2329" s="3" t="s">
        <v>1845</v>
      </c>
      <c r="L2329" s="4">
        <v>0.38472222222222219</v>
      </c>
      <c r="M2329" s="3" t="s">
        <v>1888</v>
      </c>
      <c r="N2329" s="3" t="s">
        <v>24</v>
      </c>
      <c r="O2329" s="3" t="s">
        <v>25</v>
      </c>
    </row>
    <row r="2330" spans="1:15">
      <c r="A2330" s="5" t="s">
        <v>15</v>
      </c>
      <c r="B2330" s="5" t="str">
        <f>"FES1162742318"</f>
        <v>FES1162742318</v>
      </c>
      <c r="C2330" s="5" t="s">
        <v>1666</v>
      </c>
      <c r="D2330" s="5">
        <v>1</v>
      </c>
      <c r="E2330" s="5" t="str">
        <f>"2170733289"</f>
        <v>2170733289</v>
      </c>
      <c r="F2330" s="5" t="s">
        <v>17</v>
      </c>
      <c r="G2330" s="5" t="s">
        <v>18</v>
      </c>
      <c r="H2330" s="5" t="s">
        <v>18</v>
      </c>
      <c r="I2330" s="5" t="s">
        <v>313</v>
      </c>
      <c r="J2330" s="5" t="s">
        <v>314</v>
      </c>
      <c r="K2330" s="5" t="s">
        <v>1845</v>
      </c>
      <c r="L2330" s="6">
        <v>0.41875000000000001</v>
      </c>
      <c r="M2330" s="5" t="s">
        <v>315</v>
      </c>
      <c r="N2330" s="5" t="s">
        <v>24</v>
      </c>
      <c r="O2330" s="5" t="s">
        <v>25</v>
      </c>
    </row>
    <row r="2331" spans="1:15">
      <c r="A2331" s="5" t="s">
        <v>15</v>
      </c>
      <c r="B2331" s="5" t="str">
        <f>"FES1162742394"</f>
        <v>FES1162742394</v>
      </c>
      <c r="C2331" s="5" t="s">
        <v>1666</v>
      </c>
      <c r="D2331" s="5">
        <v>1</v>
      </c>
      <c r="E2331" s="5" t="str">
        <f>"2170733909"</f>
        <v>2170733909</v>
      </c>
      <c r="F2331" s="5" t="s">
        <v>17</v>
      </c>
      <c r="G2331" s="5" t="s">
        <v>18</v>
      </c>
      <c r="H2331" s="5" t="s">
        <v>18</v>
      </c>
      <c r="I2331" s="5" t="s">
        <v>313</v>
      </c>
      <c r="J2331" s="5" t="s">
        <v>1377</v>
      </c>
      <c r="K2331" s="5" t="s">
        <v>1845</v>
      </c>
      <c r="L2331" s="6">
        <v>0.375</v>
      </c>
      <c r="M2331" s="5" t="s">
        <v>1904</v>
      </c>
      <c r="N2331" s="5" t="s">
        <v>24</v>
      </c>
      <c r="O2331" s="5" t="s">
        <v>25</v>
      </c>
    </row>
    <row r="2332" spans="1:15">
      <c r="A2332" s="5" t="s">
        <v>15</v>
      </c>
      <c r="B2332" s="5" t="str">
        <f>"FES1162742425"</f>
        <v>FES1162742425</v>
      </c>
      <c r="C2332" s="5" t="s">
        <v>1666</v>
      </c>
      <c r="D2332" s="5">
        <v>1</v>
      </c>
      <c r="E2332" s="5" t="str">
        <f>"2170728451"</f>
        <v>2170728451</v>
      </c>
      <c r="F2332" s="5" t="s">
        <v>17</v>
      </c>
      <c r="G2332" s="5" t="s">
        <v>18</v>
      </c>
      <c r="H2332" s="5" t="s">
        <v>18</v>
      </c>
      <c r="I2332" s="5" t="s">
        <v>151</v>
      </c>
      <c r="J2332" s="5" t="s">
        <v>1900</v>
      </c>
      <c r="K2332" s="5" t="s">
        <v>1845</v>
      </c>
      <c r="L2332" s="6">
        <v>0.375</v>
      </c>
      <c r="M2332" s="5" t="s">
        <v>1905</v>
      </c>
      <c r="N2332" s="5" t="s">
        <v>24</v>
      </c>
      <c r="O2332" s="5" t="s">
        <v>1906</v>
      </c>
    </row>
    <row r="2333" spans="1:15">
      <c r="A2333" s="5" t="s">
        <v>15</v>
      </c>
      <c r="B2333" s="5" t="str">
        <f>"FES1162742447"</f>
        <v>FES1162742447</v>
      </c>
      <c r="C2333" s="5" t="s">
        <v>1666</v>
      </c>
      <c r="D2333" s="5">
        <v>1</v>
      </c>
      <c r="E2333" s="5" t="str">
        <f>"2170733958"</f>
        <v>2170733958</v>
      </c>
      <c r="F2333" s="5" t="s">
        <v>17</v>
      </c>
      <c r="G2333" s="5" t="s">
        <v>18</v>
      </c>
      <c r="H2333" s="5" t="s">
        <v>100</v>
      </c>
      <c r="I2333" s="5" t="s">
        <v>101</v>
      </c>
      <c r="J2333" s="5" t="s">
        <v>653</v>
      </c>
      <c r="K2333" s="5" t="s">
        <v>1845</v>
      </c>
      <c r="L2333" s="6">
        <v>0.3923611111111111</v>
      </c>
      <c r="M2333" s="5" t="s">
        <v>1896</v>
      </c>
      <c r="N2333" s="5" t="s">
        <v>24</v>
      </c>
      <c r="O2333" s="5" t="s">
        <v>25</v>
      </c>
    </row>
    <row r="2334" spans="1:15">
      <c r="A2334" s="5" t="s">
        <v>15</v>
      </c>
      <c r="B2334" s="5" t="str">
        <f>"FES1162742456"</f>
        <v>FES1162742456</v>
      </c>
      <c r="C2334" s="5" t="s">
        <v>1666</v>
      </c>
      <c r="D2334" s="5">
        <v>1</v>
      </c>
      <c r="E2334" s="5" t="str">
        <f>"2170733966"</f>
        <v>2170733966</v>
      </c>
      <c r="F2334" s="5" t="s">
        <v>17</v>
      </c>
      <c r="G2334" s="5" t="s">
        <v>18</v>
      </c>
      <c r="H2334" s="5" t="s">
        <v>100</v>
      </c>
      <c r="I2334" s="5" t="s">
        <v>101</v>
      </c>
      <c r="J2334" s="5" t="s">
        <v>1217</v>
      </c>
      <c r="K2334" s="5" t="s">
        <v>1845</v>
      </c>
      <c r="L2334" s="6">
        <v>0.37708333333333338</v>
      </c>
      <c r="M2334" s="5" t="s">
        <v>254</v>
      </c>
      <c r="N2334" s="5" t="s">
        <v>24</v>
      </c>
      <c r="O2334" s="5" t="s">
        <v>25</v>
      </c>
    </row>
    <row r="2335" spans="1:15">
      <c r="A2335" s="5" t="s">
        <v>15</v>
      </c>
      <c r="B2335" s="5" t="str">
        <f>"FES1162742408"</f>
        <v>FES1162742408</v>
      </c>
      <c r="C2335" s="5" t="s">
        <v>1666</v>
      </c>
      <c r="D2335" s="5">
        <v>1</v>
      </c>
      <c r="E2335" s="5" t="str">
        <f>"2170733925"</f>
        <v>2170733925</v>
      </c>
      <c r="F2335" s="5" t="s">
        <v>17</v>
      </c>
      <c r="G2335" s="5" t="s">
        <v>18</v>
      </c>
      <c r="H2335" s="5" t="s">
        <v>19</v>
      </c>
      <c r="I2335" s="5" t="s">
        <v>20</v>
      </c>
      <c r="J2335" s="5" t="s">
        <v>446</v>
      </c>
      <c r="K2335" s="5" t="s">
        <v>1845</v>
      </c>
      <c r="L2335" s="6">
        <v>0.5625</v>
      </c>
      <c r="M2335" s="5" t="s">
        <v>666</v>
      </c>
      <c r="N2335" s="5" t="s">
        <v>24</v>
      </c>
      <c r="O2335" s="5" t="s">
        <v>25</v>
      </c>
    </row>
    <row r="2336" spans="1:15">
      <c r="A2336" s="5" t="s">
        <v>15</v>
      </c>
      <c r="B2336" s="5" t="str">
        <f>"FES1162742327"</f>
        <v>FES1162742327</v>
      </c>
      <c r="C2336" s="5" t="s">
        <v>1666</v>
      </c>
      <c r="D2336" s="5">
        <v>1</v>
      </c>
      <c r="E2336" s="5" t="str">
        <f>"2170733842"</f>
        <v>2170733842</v>
      </c>
      <c r="F2336" s="5" t="s">
        <v>17</v>
      </c>
      <c r="G2336" s="5" t="s">
        <v>18</v>
      </c>
      <c r="H2336" s="5" t="s">
        <v>19</v>
      </c>
      <c r="I2336" s="5" t="s">
        <v>20</v>
      </c>
      <c r="J2336" s="5" t="s">
        <v>1141</v>
      </c>
      <c r="K2336" s="5" t="s">
        <v>1845</v>
      </c>
      <c r="L2336" s="6">
        <v>0.38472222222222219</v>
      </c>
      <c r="M2336" s="5" t="s">
        <v>1888</v>
      </c>
      <c r="N2336" s="5" t="s">
        <v>24</v>
      </c>
      <c r="O2336" s="5" t="s">
        <v>25</v>
      </c>
    </row>
    <row r="2337" spans="1:15">
      <c r="A2337" s="5" t="s">
        <v>15</v>
      </c>
      <c r="B2337" s="5" t="str">
        <f>"FES1162742372"</f>
        <v>FES1162742372</v>
      </c>
      <c r="C2337" s="5" t="s">
        <v>1666</v>
      </c>
      <c r="D2337" s="5">
        <v>1</v>
      </c>
      <c r="E2337" s="5" t="str">
        <f>"2170733890"</f>
        <v>2170733890</v>
      </c>
      <c r="F2337" s="5" t="s">
        <v>17</v>
      </c>
      <c r="G2337" s="5" t="s">
        <v>18</v>
      </c>
      <c r="H2337" s="5" t="s">
        <v>70</v>
      </c>
      <c r="I2337" s="5" t="s">
        <v>755</v>
      </c>
      <c r="J2337" s="5" t="s">
        <v>756</v>
      </c>
      <c r="K2337" s="5" t="s">
        <v>1845</v>
      </c>
      <c r="L2337" s="6">
        <v>0.38472222222222219</v>
      </c>
      <c r="M2337" s="5" t="s">
        <v>1907</v>
      </c>
      <c r="N2337" s="5" t="s">
        <v>24</v>
      </c>
      <c r="O2337" s="5" t="s">
        <v>1908</v>
      </c>
    </row>
    <row r="2338" spans="1:15">
      <c r="A2338" s="5" t="s">
        <v>15</v>
      </c>
      <c r="B2338" s="5" t="str">
        <f>"FES1162742399"</f>
        <v>FES1162742399</v>
      </c>
      <c r="C2338" s="5" t="s">
        <v>1666</v>
      </c>
      <c r="D2338" s="5">
        <v>1</v>
      </c>
      <c r="E2338" s="5" t="str">
        <f>"2170733915"</f>
        <v>2170733915</v>
      </c>
      <c r="F2338" s="5" t="s">
        <v>17</v>
      </c>
      <c r="G2338" s="5" t="s">
        <v>18</v>
      </c>
      <c r="H2338" s="5" t="s">
        <v>19</v>
      </c>
      <c r="I2338" s="5" t="s">
        <v>20</v>
      </c>
      <c r="J2338" s="5" t="s">
        <v>56</v>
      </c>
      <c r="K2338" s="5" t="s">
        <v>1845</v>
      </c>
      <c r="L2338" s="6">
        <v>0.36458333333333331</v>
      </c>
      <c r="M2338" s="5" t="s">
        <v>57</v>
      </c>
      <c r="N2338" s="5" t="s">
        <v>24</v>
      </c>
      <c r="O2338" s="5" t="s">
        <v>25</v>
      </c>
    </row>
    <row r="2339" spans="1:15">
      <c r="A2339" s="5" t="s">
        <v>15</v>
      </c>
      <c r="B2339" s="5" t="str">
        <f>"FES1162742382"</f>
        <v>FES1162742382</v>
      </c>
      <c r="C2339" s="5" t="s">
        <v>1666</v>
      </c>
      <c r="D2339" s="5">
        <v>1</v>
      </c>
      <c r="E2339" s="5" t="str">
        <f>"2170731949"</f>
        <v>2170731949</v>
      </c>
      <c r="F2339" s="5" t="s">
        <v>17</v>
      </c>
      <c r="G2339" s="5" t="s">
        <v>18</v>
      </c>
      <c r="H2339" s="5" t="s">
        <v>70</v>
      </c>
      <c r="I2339" s="5" t="s">
        <v>71</v>
      </c>
      <c r="J2339" s="5" t="s">
        <v>441</v>
      </c>
      <c r="K2339" s="5" t="s">
        <v>1845</v>
      </c>
      <c r="L2339" s="6">
        <v>0.49305555555555558</v>
      </c>
      <c r="M2339" s="5" t="s">
        <v>782</v>
      </c>
      <c r="N2339" s="5" t="s">
        <v>24</v>
      </c>
      <c r="O2339" s="5" t="s">
        <v>25</v>
      </c>
    </row>
    <row r="2340" spans="1:15">
      <c r="A2340" s="5" t="s">
        <v>15</v>
      </c>
      <c r="B2340" s="5" t="str">
        <f>"FES1162742319"</f>
        <v>FES1162742319</v>
      </c>
      <c r="C2340" s="5" t="s">
        <v>1666</v>
      </c>
      <c r="D2340" s="5">
        <v>1</v>
      </c>
      <c r="E2340" s="5" t="str">
        <f>"2170733830"</f>
        <v>2170733830</v>
      </c>
      <c r="F2340" s="5" t="s">
        <v>17</v>
      </c>
      <c r="G2340" s="5" t="s">
        <v>18</v>
      </c>
      <c r="H2340" s="5" t="s">
        <v>19</v>
      </c>
      <c r="I2340" s="5" t="s">
        <v>51</v>
      </c>
      <c r="J2340" s="5" t="s">
        <v>1634</v>
      </c>
      <c r="K2340" s="5" t="s">
        <v>1845</v>
      </c>
      <c r="L2340" s="6">
        <v>0.41180555555555554</v>
      </c>
      <c r="M2340" s="5" t="s">
        <v>1635</v>
      </c>
      <c r="N2340" s="5" t="s">
        <v>24</v>
      </c>
      <c r="O2340" s="5" t="s">
        <v>25</v>
      </c>
    </row>
    <row r="2341" spans="1:15">
      <c r="A2341" s="5" t="s">
        <v>15</v>
      </c>
      <c r="B2341" s="5" t="str">
        <f>"FES1162742358"</f>
        <v>FES1162742358</v>
      </c>
      <c r="C2341" s="5" t="s">
        <v>1666</v>
      </c>
      <c r="D2341" s="5">
        <v>1</v>
      </c>
      <c r="E2341" s="5" t="str">
        <f>"2170733883"</f>
        <v>2170733883</v>
      </c>
      <c r="F2341" s="5" t="s">
        <v>17</v>
      </c>
      <c r="G2341" s="5" t="s">
        <v>18</v>
      </c>
      <c r="H2341" s="5" t="s">
        <v>19</v>
      </c>
      <c r="I2341" s="5" t="s">
        <v>890</v>
      </c>
      <c r="J2341" s="5" t="s">
        <v>891</v>
      </c>
      <c r="K2341" s="5" t="s">
        <v>1845</v>
      </c>
      <c r="L2341" s="6">
        <v>0.37916666666666665</v>
      </c>
      <c r="M2341" s="5" t="s">
        <v>1909</v>
      </c>
      <c r="N2341" s="5" t="s">
        <v>24</v>
      </c>
      <c r="O2341" s="5" t="s">
        <v>25</v>
      </c>
    </row>
    <row r="2342" spans="1:15">
      <c r="A2342" s="3" t="s">
        <v>15</v>
      </c>
      <c r="B2342" s="3" t="str">
        <f>"FES1162742387"</f>
        <v>FES1162742387</v>
      </c>
      <c r="C2342" s="3" t="s">
        <v>1666</v>
      </c>
      <c r="D2342" s="3">
        <v>1</v>
      </c>
      <c r="E2342" s="3" t="str">
        <f>"2170733898"</f>
        <v>2170733898</v>
      </c>
      <c r="F2342" s="3" t="s">
        <v>17</v>
      </c>
      <c r="G2342" s="3" t="s">
        <v>18</v>
      </c>
      <c r="H2342" s="3" t="s">
        <v>19</v>
      </c>
      <c r="I2342" s="3" t="s">
        <v>20</v>
      </c>
      <c r="J2342" s="3" t="s">
        <v>1910</v>
      </c>
      <c r="K2342" s="3" t="s">
        <v>1845</v>
      </c>
      <c r="L2342" s="4">
        <v>0.53263888888888888</v>
      </c>
      <c r="M2342" s="3" t="s">
        <v>1129</v>
      </c>
      <c r="N2342" s="3" t="s">
        <v>24</v>
      </c>
      <c r="O2342" s="3" t="s">
        <v>25</v>
      </c>
    </row>
    <row r="2343" spans="1:15">
      <c r="A2343" s="3" t="s">
        <v>15</v>
      </c>
      <c r="B2343" s="3" t="str">
        <f>"FES1162742354"</f>
        <v>FES1162742354</v>
      </c>
      <c r="C2343" s="3" t="s">
        <v>1666</v>
      </c>
      <c r="D2343" s="3">
        <v>1</v>
      </c>
      <c r="E2343" s="3" t="str">
        <f>"2170733877"</f>
        <v>2170733877</v>
      </c>
      <c r="F2343" s="3" t="s">
        <v>17</v>
      </c>
      <c r="G2343" s="3" t="s">
        <v>18</v>
      </c>
      <c r="H2343" s="3" t="s">
        <v>19</v>
      </c>
      <c r="I2343" s="3" t="s">
        <v>890</v>
      </c>
      <c r="J2343" s="3" t="s">
        <v>891</v>
      </c>
      <c r="K2343" s="3" t="s">
        <v>1845</v>
      </c>
      <c r="L2343" s="4">
        <v>0.37916666666666665</v>
      </c>
      <c r="M2343" s="3" t="s">
        <v>1909</v>
      </c>
      <c r="N2343" s="3" t="s">
        <v>24</v>
      </c>
      <c r="O2343" s="3" t="s">
        <v>25</v>
      </c>
    </row>
    <row r="2344" spans="1:15">
      <c r="A2344" s="3" t="s">
        <v>15</v>
      </c>
      <c r="B2344" s="3" t="str">
        <f>"FES1162742413"</f>
        <v>FES1162742413</v>
      </c>
      <c r="C2344" s="3" t="s">
        <v>1666</v>
      </c>
      <c r="D2344" s="3">
        <v>1</v>
      </c>
      <c r="E2344" s="3" t="str">
        <f>"2170733934"</f>
        <v>2170733934</v>
      </c>
      <c r="F2344" s="3" t="s">
        <v>17</v>
      </c>
      <c r="G2344" s="3" t="s">
        <v>18</v>
      </c>
      <c r="H2344" s="3" t="s">
        <v>19</v>
      </c>
      <c r="I2344" s="3" t="s">
        <v>51</v>
      </c>
      <c r="J2344" s="3" t="s">
        <v>1083</v>
      </c>
      <c r="K2344" s="3" t="s">
        <v>1845</v>
      </c>
      <c r="L2344" s="4">
        <v>0.35069444444444442</v>
      </c>
      <c r="M2344" s="3" t="s">
        <v>1911</v>
      </c>
      <c r="N2344" s="3" t="s">
        <v>24</v>
      </c>
      <c r="O2344" s="3" t="s">
        <v>25</v>
      </c>
    </row>
    <row r="2345" spans="1:15">
      <c r="A2345" s="3" t="s">
        <v>15</v>
      </c>
      <c r="B2345" s="3" t="str">
        <f>"FES1162742410"</f>
        <v>FES1162742410</v>
      </c>
      <c r="C2345" s="3" t="s">
        <v>1666</v>
      </c>
      <c r="D2345" s="3">
        <v>1</v>
      </c>
      <c r="E2345" s="3" t="str">
        <f>"2170733928"</f>
        <v>2170733928</v>
      </c>
      <c r="F2345" s="3" t="s">
        <v>17</v>
      </c>
      <c r="G2345" s="3" t="s">
        <v>18</v>
      </c>
      <c r="H2345" s="3" t="s">
        <v>19</v>
      </c>
      <c r="I2345" s="3" t="s">
        <v>20</v>
      </c>
      <c r="J2345" s="3" t="s">
        <v>56</v>
      </c>
      <c r="K2345" s="3" t="s">
        <v>1845</v>
      </c>
      <c r="L2345" s="4">
        <v>0.3666666666666667</v>
      </c>
      <c r="M2345" s="3" t="s">
        <v>57</v>
      </c>
      <c r="N2345" s="3" t="s">
        <v>24</v>
      </c>
      <c r="O2345" s="3" t="s">
        <v>25</v>
      </c>
    </row>
    <row r="2346" spans="1:15">
      <c r="A2346" s="3" t="s">
        <v>15</v>
      </c>
      <c r="B2346" s="3" t="str">
        <f>"FES1162742325"</f>
        <v>FES1162742325</v>
      </c>
      <c r="C2346" s="3" t="s">
        <v>1666</v>
      </c>
      <c r="D2346" s="3">
        <v>1</v>
      </c>
      <c r="E2346" s="3" t="str">
        <f>"2170733840"</f>
        <v>2170733840</v>
      </c>
      <c r="F2346" s="3" t="s">
        <v>17</v>
      </c>
      <c r="G2346" s="3" t="s">
        <v>18</v>
      </c>
      <c r="H2346" s="3" t="s">
        <v>19</v>
      </c>
      <c r="I2346" s="3" t="s">
        <v>20</v>
      </c>
      <c r="J2346" s="3" t="s">
        <v>1141</v>
      </c>
      <c r="K2346" s="3" t="s">
        <v>1845</v>
      </c>
      <c r="L2346" s="4">
        <v>0.38472222222222219</v>
      </c>
      <c r="M2346" s="3" t="s">
        <v>1888</v>
      </c>
      <c r="N2346" s="3" t="s">
        <v>24</v>
      </c>
      <c r="O2346" s="3" t="s">
        <v>25</v>
      </c>
    </row>
    <row r="2347" spans="1:15">
      <c r="A2347" s="3" t="s">
        <v>15</v>
      </c>
      <c r="B2347" s="3" t="str">
        <f>"RFES1162742048"</f>
        <v>RFES1162742048</v>
      </c>
      <c r="C2347" s="3" t="s">
        <v>1666</v>
      </c>
      <c r="D2347" s="3">
        <v>3</v>
      </c>
      <c r="E2347" s="3" t="str">
        <f>"2170733567"</f>
        <v>2170733567</v>
      </c>
      <c r="F2347" s="3" t="s">
        <v>17</v>
      </c>
      <c r="G2347" s="3" t="s">
        <v>18</v>
      </c>
      <c r="H2347" s="3" t="s">
        <v>18</v>
      </c>
      <c r="I2347" s="3" t="s">
        <v>29</v>
      </c>
      <c r="J2347" s="3" t="s">
        <v>30</v>
      </c>
      <c r="K2347" s="3" t="s">
        <v>1845</v>
      </c>
      <c r="L2347" s="4">
        <v>0.33194444444444443</v>
      </c>
      <c r="M2347" s="3" t="s">
        <v>31</v>
      </c>
      <c r="N2347" s="3" t="s">
        <v>24</v>
      </c>
      <c r="O2347" s="3" t="s">
        <v>25</v>
      </c>
    </row>
    <row r="2348" spans="1:15">
      <c r="A2348" s="3" t="s">
        <v>15</v>
      </c>
      <c r="B2348" s="3" t="str">
        <f>"009939752410"</f>
        <v>009939752410</v>
      </c>
      <c r="C2348" s="3" t="s">
        <v>1666</v>
      </c>
      <c r="D2348" s="3">
        <v>1</v>
      </c>
      <c r="E2348" s="3" t="str">
        <f>""</f>
        <v/>
      </c>
      <c r="F2348" s="3" t="s">
        <v>17</v>
      </c>
      <c r="G2348" s="3" t="s">
        <v>70</v>
      </c>
      <c r="H2348" s="3" t="s">
        <v>18</v>
      </c>
      <c r="I2348" s="3" t="s">
        <v>29</v>
      </c>
      <c r="J2348" s="3" t="s">
        <v>529</v>
      </c>
      <c r="K2348" s="3" t="s">
        <v>1845</v>
      </c>
      <c r="L2348" s="4">
        <v>0.33194444444444443</v>
      </c>
      <c r="M2348" s="3" t="s">
        <v>31</v>
      </c>
      <c r="N2348" s="3" t="s">
        <v>24</v>
      </c>
      <c r="O2348" s="3" t="s">
        <v>25</v>
      </c>
    </row>
    <row r="2349" spans="1:15">
      <c r="A2349" s="3" t="s">
        <v>15</v>
      </c>
      <c r="B2349" s="3" t="str">
        <f>"019911311229"</f>
        <v>019911311229</v>
      </c>
      <c r="C2349" s="3" t="s">
        <v>1666</v>
      </c>
      <c r="D2349" s="3">
        <v>1</v>
      </c>
      <c r="E2349" s="3" t="str">
        <f>"1703"</f>
        <v>1703</v>
      </c>
      <c r="F2349" s="3" t="s">
        <v>528</v>
      </c>
      <c r="G2349" s="3" t="s">
        <v>100</v>
      </c>
      <c r="H2349" s="3" t="s">
        <v>948</v>
      </c>
      <c r="I2349" s="3" t="s">
        <v>29</v>
      </c>
      <c r="J2349" s="3" t="s">
        <v>635</v>
      </c>
      <c r="K2349" s="3" t="s">
        <v>1845</v>
      </c>
      <c r="L2349" s="4">
        <v>0.33194444444444443</v>
      </c>
      <c r="M2349" s="3" t="s">
        <v>777</v>
      </c>
      <c r="N2349" s="3" t="s">
        <v>24</v>
      </c>
      <c r="O2349" s="3" t="s">
        <v>1912</v>
      </c>
    </row>
    <row r="2350" spans="1:15">
      <c r="A2350" s="3" t="s">
        <v>15</v>
      </c>
      <c r="B2350" s="3" t="str">
        <f>"019911311232"</f>
        <v>019911311232</v>
      </c>
      <c r="C2350" s="3" t="s">
        <v>1666</v>
      </c>
      <c r="D2350" s="3">
        <v>1</v>
      </c>
      <c r="E2350" s="3" t="str">
        <f>"1703"</f>
        <v>1703</v>
      </c>
      <c r="F2350" s="3" t="s">
        <v>528</v>
      </c>
      <c r="G2350" s="3" t="s">
        <v>100</v>
      </c>
      <c r="H2350" s="3" t="s">
        <v>948</v>
      </c>
      <c r="I2350" s="3" t="s">
        <v>29</v>
      </c>
      <c r="J2350" s="3" t="s">
        <v>635</v>
      </c>
      <c r="K2350" s="3" t="s">
        <v>1845</v>
      </c>
      <c r="L2350" s="4">
        <v>0.33194444444444443</v>
      </c>
      <c r="M2350" s="3" t="s">
        <v>777</v>
      </c>
      <c r="N2350" s="3" t="s">
        <v>24</v>
      </c>
      <c r="O2350" s="3" t="s">
        <v>1913</v>
      </c>
    </row>
    <row r="2351" spans="1:15">
      <c r="A2351" s="3" t="s">
        <v>15</v>
      </c>
      <c r="B2351" s="3" t="str">
        <f>"FES1162742418"</f>
        <v>FES1162742418</v>
      </c>
      <c r="C2351" s="3" t="s">
        <v>1666</v>
      </c>
      <c r="D2351" s="3">
        <v>1</v>
      </c>
      <c r="E2351" s="3" t="str">
        <f>"2170733942"</f>
        <v>2170733942</v>
      </c>
      <c r="F2351" s="3" t="s">
        <v>17</v>
      </c>
      <c r="G2351" s="3" t="s">
        <v>18</v>
      </c>
      <c r="H2351" s="3" t="s">
        <v>19</v>
      </c>
      <c r="I2351" s="3" t="s">
        <v>20</v>
      </c>
      <c r="J2351" s="3" t="s">
        <v>1141</v>
      </c>
      <c r="K2351" s="3" t="s">
        <v>1845</v>
      </c>
      <c r="L2351" s="4">
        <v>0.38472222222222219</v>
      </c>
      <c r="M2351" s="3" t="s">
        <v>1888</v>
      </c>
      <c r="N2351" s="3" t="s">
        <v>24</v>
      </c>
      <c r="O2351" s="3" t="s">
        <v>25</v>
      </c>
    </row>
    <row r="2352" spans="1:15">
      <c r="A2352" s="3" t="s">
        <v>15</v>
      </c>
      <c r="B2352" s="3" t="str">
        <f>"FES1162742393"</f>
        <v>FES1162742393</v>
      </c>
      <c r="C2352" s="3" t="s">
        <v>1666</v>
      </c>
      <c r="D2352" s="3">
        <v>1</v>
      </c>
      <c r="E2352" s="3" t="str">
        <f>"2170733907"</f>
        <v>2170733907</v>
      </c>
      <c r="F2352" s="3" t="s">
        <v>17</v>
      </c>
      <c r="G2352" s="3" t="s">
        <v>18</v>
      </c>
      <c r="H2352" s="3" t="s">
        <v>70</v>
      </c>
      <c r="I2352" s="3" t="s">
        <v>931</v>
      </c>
      <c r="J2352" s="3" t="s">
        <v>1569</v>
      </c>
      <c r="K2352" s="3" t="s">
        <v>1845</v>
      </c>
      <c r="L2352" s="4">
        <v>0.50694444444444442</v>
      </c>
      <c r="M2352" s="3" t="s">
        <v>1570</v>
      </c>
      <c r="N2352" s="3" t="s">
        <v>24</v>
      </c>
      <c r="O2352" s="3" t="s">
        <v>25</v>
      </c>
    </row>
    <row r="2353" spans="1:15">
      <c r="A2353" s="3" t="s">
        <v>15</v>
      </c>
      <c r="B2353" s="3" t="str">
        <f>"FES1162742406"</f>
        <v>FES1162742406</v>
      </c>
      <c r="C2353" s="3" t="s">
        <v>1666</v>
      </c>
      <c r="D2353" s="3">
        <v>1</v>
      </c>
      <c r="E2353" s="3" t="str">
        <f>"2170733923"</f>
        <v>2170733923</v>
      </c>
      <c r="F2353" s="3" t="s">
        <v>17</v>
      </c>
      <c r="G2353" s="3" t="s">
        <v>18</v>
      </c>
      <c r="H2353" s="3" t="s">
        <v>19</v>
      </c>
      <c r="I2353" s="3" t="s">
        <v>20</v>
      </c>
      <c r="J2353" s="3" t="s">
        <v>395</v>
      </c>
      <c r="K2353" s="3" t="s">
        <v>1845</v>
      </c>
      <c r="L2353" s="4">
        <v>0.35486111111111113</v>
      </c>
      <c r="M2353" s="3" t="s">
        <v>396</v>
      </c>
      <c r="N2353" s="3" t="s">
        <v>24</v>
      </c>
      <c r="O2353" s="3" t="s">
        <v>25</v>
      </c>
    </row>
    <row r="2354" spans="1:15">
      <c r="A2354" s="3" t="s">
        <v>15</v>
      </c>
      <c r="B2354" s="3" t="str">
        <f>"FES1162742463"</f>
        <v>FES1162742463</v>
      </c>
      <c r="C2354" s="3" t="s">
        <v>1666</v>
      </c>
      <c r="D2354" s="3">
        <v>1</v>
      </c>
      <c r="E2354" s="3" t="str">
        <f>"2170733979"</f>
        <v>2170733979</v>
      </c>
      <c r="F2354" s="3" t="s">
        <v>17</v>
      </c>
      <c r="G2354" s="3" t="s">
        <v>18</v>
      </c>
      <c r="H2354" s="3" t="s">
        <v>66</v>
      </c>
      <c r="I2354" s="3" t="s">
        <v>67</v>
      </c>
      <c r="J2354" s="3" t="s">
        <v>287</v>
      </c>
      <c r="K2354" s="3" t="s">
        <v>1845</v>
      </c>
      <c r="L2354" s="4">
        <v>0.34027777777777773</v>
      </c>
      <c r="M2354" s="3" t="s">
        <v>1595</v>
      </c>
      <c r="N2354" s="3" t="s">
        <v>24</v>
      </c>
      <c r="O2354" s="3" t="s">
        <v>25</v>
      </c>
    </row>
    <row r="2355" spans="1:15">
      <c r="A2355" s="5" t="s">
        <v>15</v>
      </c>
      <c r="B2355" s="5" t="str">
        <f>"FES1162742435"</f>
        <v>FES1162742435</v>
      </c>
      <c r="C2355" s="5" t="s">
        <v>1666</v>
      </c>
      <c r="D2355" s="5">
        <v>1</v>
      </c>
      <c r="E2355" s="5" t="str">
        <f>"2170733951"</f>
        <v>2170733951</v>
      </c>
      <c r="F2355" s="5" t="s">
        <v>17</v>
      </c>
      <c r="G2355" s="5" t="s">
        <v>18</v>
      </c>
      <c r="H2355" s="5" t="s">
        <v>36</v>
      </c>
      <c r="I2355" s="5" t="s">
        <v>37</v>
      </c>
      <c r="J2355" s="5" t="s">
        <v>505</v>
      </c>
      <c r="K2355" s="5" t="s">
        <v>1845</v>
      </c>
      <c r="L2355" s="6">
        <v>0.34027777777777773</v>
      </c>
      <c r="M2355" s="5" t="s">
        <v>1765</v>
      </c>
      <c r="N2355" s="5" t="s">
        <v>24</v>
      </c>
      <c r="O2355" s="5" t="s">
        <v>25</v>
      </c>
    </row>
    <row r="2356" spans="1:15">
      <c r="A2356" s="5" t="s">
        <v>15</v>
      </c>
      <c r="B2356" s="5" t="str">
        <f>"FES1162742420"</f>
        <v>FES1162742420</v>
      </c>
      <c r="C2356" s="5" t="s">
        <v>1666</v>
      </c>
      <c r="D2356" s="5">
        <v>1</v>
      </c>
      <c r="E2356" s="5" t="str">
        <f>"2170733945"</f>
        <v>2170733945</v>
      </c>
      <c r="F2356" s="5" t="s">
        <v>17</v>
      </c>
      <c r="G2356" s="5" t="s">
        <v>18</v>
      </c>
      <c r="H2356" s="5" t="s">
        <v>36</v>
      </c>
      <c r="I2356" s="5" t="s">
        <v>37</v>
      </c>
      <c r="J2356" s="5" t="s">
        <v>801</v>
      </c>
      <c r="K2356" s="5" t="s">
        <v>1845</v>
      </c>
      <c r="L2356" s="6">
        <v>0.38194444444444442</v>
      </c>
      <c r="M2356" s="5" t="s">
        <v>1914</v>
      </c>
      <c r="N2356" s="5" t="s">
        <v>24</v>
      </c>
      <c r="O2356" s="5" t="s">
        <v>25</v>
      </c>
    </row>
    <row r="2357" spans="1:15">
      <c r="A2357" s="5" t="s">
        <v>15</v>
      </c>
      <c r="B2357" s="5" t="str">
        <f>"FES1162742464"</f>
        <v>FES1162742464</v>
      </c>
      <c r="C2357" s="5" t="s">
        <v>1666</v>
      </c>
      <c r="D2357" s="5">
        <v>1</v>
      </c>
      <c r="E2357" s="5" t="str">
        <f>"2170728148"</f>
        <v>2170728148</v>
      </c>
      <c r="F2357" s="5" t="s">
        <v>17</v>
      </c>
      <c r="G2357" s="5" t="s">
        <v>18</v>
      </c>
      <c r="H2357" s="5" t="s">
        <v>36</v>
      </c>
      <c r="I2357" s="5" t="s">
        <v>37</v>
      </c>
      <c r="J2357" s="5" t="s">
        <v>187</v>
      </c>
      <c r="K2357" s="5" t="s">
        <v>1845</v>
      </c>
      <c r="L2357" s="6">
        <v>0.33888888888888885</v>
      </c>
      <c r="M2357" s="5" t="s">
        <v>188</v>
      </c>
      <c r="N2357" s="5" t="s">
        <v>24</v>
      </c>
      <c r="O2357" s="5" t="s">
        <v>25</v>
      </c>
    </row>
    <row r="2358" spans="1:15">
      <c r="A2358" s="5" t="s">
        <v>15</v>
      </c>
      <c r="B2358" s="5" t="str">
        <f>"FES1162742487"</f>
        <v>FES1162742487</v>
      </c>
      <c r="C2358" s="5" t="s">
        <v>1666</v>
      </c>
      <c r="D2358" s="5">
        <v>1</v>
      </c>
      <c r="E2358" s="5" t="str">
        <f>"2170734004"</f>
        <v>2170734004</v>
      </c>
      <c r="F2358" s="5" t="s">
        <v>17</v>
      </c>
      <c r="G2358" s="5" t="s">
        <v>18</v>
      </c>
      <c r="H2358" s="5" t="s">
        <v>36</v>
      </c>
      <c r="I2358" s="5" t="s">
        <v>174</v>
      </c>
      <c r="J2358" s="5" t="s">
        <v>175</v>
      </c>
      <c r="K2358" s="5" t="s">
        <v>1845</v>
      </c>
      <c r="L2358" s="6">
        <v>0.33333333333333331</v>
      </c>
      <c r="M2358" s="5" t="s">
        <v>1222</v>
      </c>
      <c r="N2358" s="5" t="s">
        <v>24</v>
      </c>
      <c r="O2358" s="5" t="s">
        <v>25</v>
      </c>
    </row>
    <row r="2359" spans="1:15">
      <c r="A2359" s="5" t="s">
        <v>15</v>
      </c>
      <c r="B2359" s="5" t="str">
        <f>"FES1162742455"</f>
        <v>FES1162742455</v>
      </c>
      <c r="C2359" s="5" t="s">
        <v>1666</v>
      </c>
      <c r="D2359" s="5">
        <v>1</v>
      </c>
      <c r="E2359" s="5" t="str">
        <f>"2170733965"</f>
        <v>2170733965</v>
      </c>
      <c r="F2359" s="5" t="s">
        <v>17</v>
      </c>
      <c r="G2359" s="5" t="s">
        <v>18</v>
      </c>
      <c r="H2359" s="5" t="s">
        <v>36</v>
      </c>
      <c r="I2359" s="5" t="s">
        <v>1145</v>
      </c>
      <c r="J2359" s="5" t="s">
        <v>1847</v>
      </c>
      <c r="K2359" s="5" t="s">
        <v>1845</v>
      </c>
      <c r="L2359" s="6">
        <v>0.33333333333333331</v>
      </c>
      <c r="M2359" s="5" t="s">
        <v>1848</v>
      </c>
      <c r="N2359" s="5" t="s">
        <v>24</v>
      </c>
      <c r="O2359" s="5" t="s">
        <v>25</v>
      </c>
    </row>
    <row r="2360" spans="1:15">
      <c r="A2360" s="5" t="s">
        <v>15</v>
      </c>
      <c r="B2360" s="5" t="str">
        <f>"FES1162742482"</f>
        <v>FES1162742482</v>
      </c>
      <c r="C2360" s="5" t="s">
        <v>1666</v>
      </c>
      <c r="D2360" s="5">
        <v>1</v>
      </c>
      <c r="E2360" s="5" t="str">
        <f>"2170733994"</f>
        <v>2170733994</v>
      </c>
      <c r="F2360" s="5" t="s">
        <v>17</v>
      </c>
      <c r="G2360" s="5" t="s">
        <v>18</v>
      </c>
      <c r="H2360" s="5" t="s">
        <v>46</v>
      </c>
      <c r="I2360" s="5" t="s">
        <v>47</v>
      </c>
      <c r="J2360" s="5" t="s">
        <v>48</v>
      </c>
      <c r="K2360" s="5" t="s">
        <v>1845</v>
      </c>
      <c r="L2360" s="6">
        <v>0.43402777777777773</v>
      </c>
      <c r="M2360" s="5" t="s">
        <v>1025</v>
      </c>
      <c r="N2360" s="5" t="s">
        <v>24</v>
      </c>
      <c r="O2360" s="5" t="s">
        <v>25</v>
      </c>
    </row>
    <row r="2361" spans="1:15">
      <c r="A2361" s="5" t="s">
        <v>15</v>
      </c>
      <c r="B2361" s="5" t="str">
        <f>"FES1162742459"</f>
        <v>FES1162742459</v>
      </c>
      <c r="C2361" s="5" t="s">
        <v>1666</v>
      </c>
      <c r="D2361" s="5">
        <v>1</v>
      </c>
      <c r="E2361" s="5" t="str">
        <f>"2170733971"</f>
        <v>2170733971</v>
      </c>
      <c r="F2361" s="5" t="s">
        <v>17</v>
      </c>
      <c r="G2361" s="5" t="s">
        <v>18</v>
      </c>
      <c r="H2361" s="5" t="s">
        <v>40</v>
      </c>
      <c r="I2361" s="5" t="s">
        <v>41</v>
      </c>
      <c r="J2361" s="5" t="s">
        <v>1915</v>
      </c>
      <c r="K2361" s="5" t="s">
        <v>1845</v>
      </c>
      <c r="L2361" s="6">
        <v>0.4368055555555555</v>
      </c>
      <c r="M2361" s="5" t="s">
        <v>1386</v>
      </c>
      <c r="N2361" s="5" t="s">
        <v>24</v>
      </c>
      <c r="O2361" s="5" t="s">
        <v>25</v>
      </c>
    </row>
    <row r="2362" spans="1:15">
      <c r="A2362" s="5" t="s">
        <v>15</v>
      </c>
      <c r="B2362" s="5" t="str">
        <f>"FES1162742475"</f>
        <v>FES1162742475</v>
      </c>
      <c r="C2362" s="5" t="s">
        <v>1666</v>
      </c>
      <c r="D2362" s="5">
        <v>1</v>
      </c>
      <c r="E2362" s="5" t="str">
        <f>"2170733985"</f>
        <v>2170733985</v>
      </c>
      <c r="F2362" s="5" t="s">
        <v>17</v>
      </c>
      <c r="G2362" s="5" t="s">
        <v>18</v>
      </c>
      <c r="H2362" s="5" t="s">
        <v>66</v>
      </c>
      <c r="I2362" s="5" t="s">
        <v>67</v>
      </c>
      <c r="J2362" s="5" t="s">
        <v>325</v>
      </c>
      <c r="K2362" s="5" t="s">
        <v>1845</v>
      </c>
      <c r="L2362" s="6">
        <v>0.34027777777777773</v>
      </c>
      <c r="M2362" s="5" t="s">
        <v>958</v>
      </c>
      <c r="N2362" s="5" t="s">
        <v>24</v>
      </c>
      <c r="O2362" s="5" t="s">
        <v>25</v>
      </c>
    </row>
    <row r="2363" spans="1:15">
      <c r="A2363" s="5" t="s">
        <v>15</v>
      </c>
      <c r="B2363" s="5" t="str">
        <f>"FES1162742436"</f>
        <v>FES1162742436</v>
      </c>
      <c r="C2363" s="5" t="s">
        <v>1666</v>
      </c>
      <c r="D2363" s="5">
        <v>1</v>
      </c>
      <c r="E2363" s="5" t="str">
        <f>"2170733953"</f>
        <v>2170733953</v>
      </c>
      <c r="F2363" s="5" t="s">
        <v>17</v>
      </c>
      <c r="G2363" s="5" t="s">
        <v>18</v>
      </c>
      <c r="H2363" s="5" t="s">
        <v>66</v>
      </c>
      <c r="I2363" s="5" t="s">
        <v>67</v>
      </c>
      <c r="J2363" s="5" t="s">
        <v>1916</v>
      </c>
      <c r="K2363" s="5" t="s">
        <v>1845</v>
      </c>
      <c r="L2363" s="6">
        <v>0.40972222222222227</v>
      </c>
      <c r="M2363" s="5" t="s">
        <v>1917</v>
      </c>
      <c r="N2363" s="5" t="s">
        <v>24</v>
      </c>
      <c r="O2363" s="5" t="s">
        <v>25</v>
      </c>
    </row>
    <row r="2364" spans="1:15">
      <c r="A2364" s="5" t="s">
        <v>15</v>
      </c>
      <c r="B2364" s="5" t="str">
        <f>"FES1162742415"</f>
        <v>FES1162742415</v>
      </c>
      <c r="C2364" s="5" t="s">
        <v>1666</v>
      </c>
      <c r="D2364" s="5">
        <v>1</v>
      </c>
      <c r="E2364" s="5" t="str">
        <f>"2170733938"</f>
        <v>2170733938</v>
      </c>
      <c r="F2364" s="5" t="s">
        <v>17</v>
      </c>
      <c r="G2364" s="5" t="s">
        <v>18</v>
      </c>
      <c r="H2364" s="5" t="s">
        <v>40</v>
      </c>
      <c r="I2364" s="5" t="s">
        <v>41</v>
      </c>
      <c r="J2364" s="5" t="s">
        <v>42</v>
      </c>
      <c r="K2364" s="5" t="s">
        <v>1845</v>
      </c>
      <c r="L2364" s="6">
        <v>0.41388888888888892</v>
      </c>
      <c r="M2364" s="5" t="s">
        <v>1918</v>
      </c>
      <c r="N2364" s="5" t="s">
        <v>24</v>
      </c>
      <c r="O2364" s="5" t="s">
        <v>25</v>
      </c>
    </row>
    <row r="2365" spans="1:15">
      <c r="A2365" s="5" t="s">
        <v>15</v>
      </c>
      <c r="B2365" s="5" t="str">
        <f>"FES1162742434"</f>
        <v>FES1162742434</v>
      </c>
      <c r="C2365" s="5" t="s">
        <v>1666</v>
      </c>
      <c r="D2365" s="5">
        <v>1</v>
      </c>
      <c r="E2365" s="5" t="str">
        <f>"2170733950"</f>
        <v>2170733950</v>
      </c>
      <c r="F2365" s="5" t="s">
        <v>17</v>
      </c>
      <c r="G2365" s="5" t="s">
        <v>18</v>
      </c>
      <c r="H2365" s="5" t="s">
        <v>36</v>
      </c>
      <c r="I2365" s="5" t="s">
        <v>37</v>
      </c>
      <c r="J2365" s="5" t="s">
        <v>505</v>
      </c>
      <c r="K2365" s="5" t="s">
        <v>1845</v>
      </c>
      <c r="L2365" s="6">
        <v>0.34027777777777773</v>
      </c>
      <c r="M2365" s="5" t="s">
        <v>1765</v>
      </c>
      <c r="N2365" s="5" t="s">
        <v>24</v>
      </c>
      <c r="O2365" s="5" t="s">
        <v>25</v>
      </c>
    </row>
    <row r="2366" spans="1:15">
      <c r="A2366" s="5" t="s">
        <v>15</v>
      </c>
      <c r="B2366" s="5" t="str">
        <f>"FES1162742474"</f>
        <v>FES1162742474</v>
      </c>
      <c r="C2366" s="5" t="s">
        <v>1666</v>
      </c>
      <c r="D2366" s="5">
        <v>1</v>
      </c>
      <c r="E2366" s="5" t="str">
        <f>"2170733731"</f>
        <v>2170733731</v>
      </c>
      <c r="F2366" s="5" t="s">
        <v>17</v>
      </c>
      <c r="G2366" s="5" t="s">
        <v>18</v>
      </c>
      <c r="H2366" s="5" t="s">
        <v>215</v>
      </c>
      <c r="I2366" s="5" t="s">
        <v>1090</v>
      </c>
      <c r="J2366" s="5" t="s">
        <v>1091</v>
      </c>
      <c r="K2366" s="5" t="s">
        <v>1845</v>
      </c>
      <c r="L2366" s="6">
        <v>0.4375</v>
      </c>
      <c r="M2366" s="5" t="s">
        <v>1919</v>
      </c>
      <c r="N2366" s="5" t="s">
        <v>24</v>
      </c>
      <c r="O2366" s="5" t="s">
        <v>25</v>
      </c>
    </row>
    <row r="2367" spans="1:15">
      <c r="A2367" s="5" t="s">
        <v>15</v>
      </c>
      <c r="B2367" s="5" t="str">
        <f>"FES1162742457"</f>
        <v>FES1162742457</v>
      </c>
      <c r="C2367" s="5" t="s">
        <v>1666</v>
      </c>
      <c r="D2367" s="5">
        <v>1</v>
      </c>
      <c r="E2367" s="5" t="str">
        <f>"2170733968"</f>
        <v>2170733968</v>
      </c>
      <c r="F2367" s="5" t="s">
        <v>17</v>
      </c>
      <c r="G2367" s="5" t="s">
        <v>18</v>
      </c>
      <c r="H2367" s="5" t="s">
        <v>537</v>
      </c>
      <c r="I2367" s="5" t="s">
        <v>538</v>
      </c>
      <c r="J2367" s="5" t="s">
        <v>1106</v>
      </c>
      <c r="K2367" s="5" t="s">
        <v>1845</v>
      </c>
      <c r="L2367" s="6">
        <v>0.39652777777777781</v>
      </c>
      <c r="M2367" s="5" t="s">
        <v>1107</v>
      </c>
      <c r="N2367" s="5" t="s">
        <v>24</v>
      </c>
      <c r="O2367" s="5" t="s">
        <v>25</v>
      </c>
    </row>
    <row r="2368" spans="1:15">
      <c r="A2368" s="5" t="s">
        <v>15</v>
      </c>
      <c r="B2368" s="5" t="str">
        <f>"FES1162742481"</f>
        <v>FES1162742481</v>
      </c>
      <c r="C2368" s="5" t="s">
        <v>1666</v>
      </c>
      <c r="D2368" s="5">
        <v>1</v>
      </c>
      <c r="E2368" s="5" t="str">
        <f>"2170733990"</f>
        <v>2170733990</v>
      </c>
      <c r="F2368" s="5" t="s">
        <v>17</v>
      </c>
      <c r="G2368" s="5" t="s">
        <v>18</v>
      </c>
      <c r="H2368" s="5" t="s">
        <v>46</v>
      </c>
      <c r="I2368" s="5" t="s">
        <v>47</v>
      </c>
      <c r="J2368" s="5" t="s">
        <v>62</v>
      </c>
      <c r="K2368" s="5" t="s">
        <v>1845</v>
      </c>
      <c r="L2368" s="6">
        <v>0.43333333333333335</v>
      </c>
      <c r="M2368" s="5" t="s">
        <v>63</v>
      </c>
      <c r="N2368" s="5" t="s">
        <v>24</v>
      </c>
      <c r="O2368" s="5" t="s">
        <v>25</v>
      </c>
    </row>
    <row r="2369" spans="1:15">
      <c r="A2369" s="5" t="s">
        <v>15</v>
      </c>
      <c r="B2369" s="5" t="str">
        <f>"FES1162742453"</f>
        <v>FES1162742453</v>
      </c>
      <c r="C2369" s="5" t="s">
        <v>1666</v>
      </c>
      <c r="D2369" s="5">
        <v>1</v>
      </c>
      <c r="E2369" s="5" t="str">
        <f>"2170733963"</f>
        <v>2170733963</v>
      </c>
      <c r="F2369" s="5" t="s">
        <v>17</v>
      </c>
      <c r="G2369" s="5" t="s">
        <v>18</v>
      </c>
      <c r="H2369" s="5" t="s">
        <v>100</v>
      </c>
      <c r="I2369" s="5" t="s">
        <v>262</v>
      </c>
      <c r="J2369" s="5" t="s">
        <v>409</v>
      </c>
      <c r="K2369" s="5" t="s">
        <v>1845</v>
      </c>
      <c r="L2369" s="6">
        <v>0.43333333333333335</v>
      </c>
      <c r="M2369" s="5" t="s">
        <v>1388</v>
      </c>
      <c r="N2369" s="5" t="s">
        <v>24</v>
      </c>
      <c r="O2369" s="5" t="s">
        <v>25</v>
      </c>
    </row>
    <row r="2370" spans="1:15">
      <c r="A2370" s="5" t="s">
        <v>15</v>
      </c>
      <c r="B2370" s="5" t="str">
        <f>"FES1162742412"</f>
        <v>FES1162742412</v>
      </c>
      <c r="C2370" s="5" t="s">
        <v>1666</v>
      </c>
      <c r="D2370" s="5">
        <v>1</v>
      </c>
      <c r="E2370" s="5" t="str">
        <f>"2170733932"</f>
        <v>2170733932</v>
      </c>
      <c r="F2370" s="5" t="s">
        <v>17</v>
      </c>
      <c r="G2370" s="5" t="s">
        <v>18</v>
      </c>
      <c r="H2370" s="5" t="s">
        <v>100</v>
      </c>
      <c r="I2370" s="5" t="s">
        <v>101</v>
      </c>
      <c r="J2370" s="5" t="s">
        <v>1920</v>
      </c>
      <c r="K2370" s="5" t="s">
        <v>1845</v>
      </c>
      <c r="L2370" s="6">
        <v>0.39999999999999997</v>
      </c>
      <c r="M2370" s="5" t="s">
        <v>1921</v>
      </c>
      <c r="N2370" s="5" t="s">
        <v>24</v>
      </c>
      <c r="O2370" s="5" t="s">
        <v>25</v>
      </c>
    </row>
    <row r="2371" spans="1:15">
      <c r="A2371" s="5" t="s">
        <v>15</v>
      </c>
      <c r="B2371" s="5" t="str">
        <f>"FES1162742401"</f>
        <v>FES1162742401</v>
      </c>
      <c r="C2371" s="5" t="s">
        <v>1666</v>
      </c>
      <c r="D2371" s="5">
        <v>1</v>
      </c>
      <c r="E2371" s="5" t="str">
        <f>"2170733918"</f>
        <v>2170733918</v>
      </c>
      <c r="F2371" s="5" t="s">
        <v>17</v>
      </c>
      <c r="G2371" s="5" t="s">
        <v>18</v>
      </c>
      <c r="H2371" s="5" t="s">
        <v>66</v>
      </c>
      <c r="I2371" s="5" t="s">
        <v>67</v>
      </c>
      <c r="J2371" s="5" t="s">
        <v>543</v>
      </c>
      <c r="K2371" s="5" t="s">
        <v>1845</v>
      </c>
      <c r="L2371" s="6">
        <v>0.41666666666666669</v>
      </c>
      <c r="M2371" s="5" t="s">
        <v>646</v>
      </c>
      <c r="N2371" s="5" t="s">
        <v>24</v>
      </c>
      <c r="O2371" s="5" t="s">
        <v>25</v>
      </c>
    </row>
    <row r="2372" spans="1:15">
      <c r="A2372" s="5" t="s">
        <v>15</v>
      </c>
      <c r="B2372" s="5" t="str">
        <f>"FES1162742424"</f>
        <v>FES1162742424</v>
      </c>
      <c r="C2372" s="5" t="s">
        <v>1666</v>
      </c>
      <c r="D2372" s="5">
        <v>2</v>
      </c>
      <c r="E2372" s="5" t="str">
        <f>"3170732403"</f>
        <v>3170732403</v>
      </c>
      <c r="F2372" s="5" t="s">
        <v>17</v>
      </c>
      <c r="G2372" s="5" t="s">
        <v>18</v>
      </c>
      <c r="H2372" s="5" t="s">
        <v>36</v>
      </c>
      <c r="I2372" s="5" t="s">
        <v>330</v>
      </c>
      <c r="J2372" s="5" t="s">
        <v>331</v>
      </c>
      <c r="K2372" s="5" t="s">
        <v>1845</v>
      </c>
      <c r="L2372" s="6">
        <v>0.38125000000000003</v>
      </c>
      <c r="M2372" s="5" t="s">
        <v>332</v>
      </c>
      <c r="N2372" s="5" t="s">
        <v>24</v>
      </c>
      <c r="O2372" s="5" t="s">
        <v>25</v>
      </c>
    </row>
    <row r="2373" spans="1:15">
      <c r="A2373" s="5" t="s">
        <v>15</v>
      </c>
      <c r="B2373" s="5" t="str">
        <f>"FES1162742416"</f>
        <v>FES1162742416</v>
      </c>
      <c r="C2373" s="5" t="s">
        <v>1666</v>
      </c>
      <c r="D2373" s="5">
        <v>1</v>
      </c>
      <c r="E2373" s="5" t="str">
        <f>"2170733936"</f>
        <v>2170733936</v>
      </c>
      <c r="F2373" s="5" t="s">
        <v>17</v>
      </c>
      <c r="G2373" s="5" t="s">
        <v>18</v>
      </c>
      <c r="H2373" s="5" t="s">
        <v>100</v>
      </c>
      <c r="I2373" s="5" t="s">
        <v>101</v>
      </c>
      <c r="J2373" s="5" t="s">
        <v>1920</v>
      </c>
      <c r="K2373" s="5" t="s">
        <v>1845</v>
      </c>
      <c r="L2373" s="6">
        <v>0.39930555555555558</v>
      </c>
      <c r="M2373" s="5" t="s">
        <v>1922</v>
      </c>
      <c r="N2373" s="5" t="s">
        <v>24</v>
      </c>
      <c r="O2373" s="5" t="s">
        <v>25</v>
      </c>
    </row>
    <row r="2374" spans="1:15">
      <c r="A2374" s="3" t="s">
        <v>15</v>
      </c>
      <c r="B2374" s="3" t="str">
        <f>"FES1162742430"</f>
        <v>FES1162742430</v>
      </c>
      <c r="C2374" s="3" t="s">
        <v>1666</v>
      </c>
      <c r="D2374" s="3">
        <v>1</v>
      </c>
      <c r="E2374" s="3" t="str">
        <f>"217073251"</f>
        <v>217073251</v>
      </c>
      <c r="F2374" s="3" t="s">
        <v>17</v>
      </c>
      <c r="G2374" s="3" t="s">
        <v>18</v>
      </c>
      <c r="H2374" s="3" t="s">
        <v>36</v>
      </c>
      <c r="I2374" s="3" t="s">
        <v>37</v>
      </c>
      <c r="J2374" s="3" t="s">
        <v>505</v>
      </c>
      <c r="K2374" s="3" t="s">
        <v>1845</v>
      </c>
      <c r="L2374" s="4">
        <v>0.34027777777777773</v>
      </c>
      <c r="M2374" s="3" t="s">
        <v>1765</v>
      </c>
      <c r="N2374" s="3" t="s">
        <v>24</v>
      </c>
      <c r="O2374" s="3" t="s">
        <v>25</v>
      </c>
    </row>
    <row r="2375" spans="1:15">
      <c r="A2375" s="3" t="s">
        <v>15</v>
      </c>
      <c r="B2375" s="3" t="str">
        <f>"FES1162742421"</f>
        <v>FES1162742421</v>
      </c>
      <c r="C2375" s="3" t="s">
        <v>1666</v>
      </c>
      <c r="D2375" s="3">
        <v>1</v>
      </c>
      <c r="E2375" s="3" t="str">
        <f>"21707308489"</f>
        <v>21707308489</v>
      </c>
      <c r="F2375" s="3" t="s">
        <v>17</v>
      </c>
      <c r="G2375" s="3" t="s">
        <v>18</v>
      </c>
      <c r="H2375" s="3" t="s">
        <v>36</v>
      </c>
      <c r="I2375" s="3" t="s">
        <v>37</v>
      </c>
      <c r="J2375" s="3" t="s">
        <v>187</v>
      </c>
      <c r="K2375" s="3" t="s">
        <v>1845</v>
      </c>
      <c r="L2375" s="4">
        <v>0.33888888888888885</v>
      </c>
      <c r="M2375" s="3" t="s">
        <v>1923</v>
      </c>
      <c r="N2375" s="3" t="s">
        <v>24</v>
      </c>
      <c r="O2375" s="3" t="s">
        <v>25</v>
      </c>
    </row>
    <row r="2376" spans="1:15">
      <c r="A2376" s="3" t="s">
        <v>15</v>
      </c>
      <c r="B2376" s="3" t="str">
        <f>"FES1162742473"</f>
        <v>FES1162742473</v>
      </c>
      <c r="C2376" s="3" t="s">
        <v>1666</v>
      </c>
      <c r="D2376" s="3">
        <v>1</v>
      </c>
      <c r="E2376" s="3" t="str">
        <f>"2170733424"</f>
        <v>2170733424</v>
      </c>
      <c r="F2376" s="3" t="s">
        <v>17</v>
      </c>
      <c r="G2376" s="3" t="s">
        <v>18</v>
      </c>
      <c r="H2376" s="3" t="s">
        <v>100</v>
      </c>
      <c r="I2376" s="3" t="s">
        <v>101</v>
      </c>
      <c r="J2376" s="3" t="s">
        <v>1217</v>
      </c>
      <c r="K2376" s="3" t="s">
        <v>1845</v>
      </c>
      <c r="L2376" s="4">
        <v>0.37708333333333338</v>
      </c>
      <c r="M2376" s="3" t="s">
        <v>254</v>
      </c>
      <c r="N2376" s="3" t="s">
        <v>24</v>
      </c>
      <c r="O2376" s="3" t="s">
        <v>25</v>
      </c>
    </row>
    <row r="2377" spans="1:15">
      <c r="A2377" s="3" t="s">
        <v>15</v>
      </c>
      <c r="B2377" s="3" t="str">
        <f>"FES1162742458"</f>
        <v>FES1162742458</v>
      </c>
      <c r="C2377" s="3" t="s">
        <v>1666</v>
      </c>
      <c r="D2377" s="3">
        <v>1</v>
      </c>
      <c r="E2377" s="3" t="str">
        <f>"2170733969"</f>
        <v>2170733969</v>
      </c>
      <c r="F2377" s="3" t="s">
        <v>17</v>
      </c>
      <c r="G2377" s="3" t="s">
        <v>18</v>
      </c>
      <c r="H2377" s="3" t="s">
        <v>66</v>
      </c>
      <c r="I2377" s="3" t="s">
        <v>67</v>
      </c>
      <c r="J2377" s="3" t="s">
        <v>287</v>
      </c>
      <c r="K2377" s="3" t="s">
        <v>1845</v>
      </c>
      <c r="L2377" s="4">
        <v>0.34027777777777773</v>
      </c>
      <c r="M2377" s="3" t="s">
        <v>1595</v>
      </c>
      <c r="N2377" s="3" t="s">
        <v>24</v>
      </c>
      <c r="O2377" s="3" t="s">
        <v>25</v>
      </c>
    </row>
    <row r="2378" spans="1:15">
      <c r="A2378" s="3" t="s">
        <v>15</v>
      </c>
      <c r="B2378" s="3" t="str">
        <f>"FES1162742448"</f>
        <v>FES1162742448</v>
      </c>
      <c r="C2378" s="3" t="s">
        <v>1666</v>
      </c>
      <c r="D2378" s="3">
        <v>1</v>
      </c>
      <c r="E2378" s="3" t="str">
        <f>"2170733959"</f>
        <v>2170733959</v>
      </c>
      <c r="F2378" s="3" t="s">
        <v>17</v>
      </c>
      <c r="G2378" s="3" t="s">
        <v>18</v>
      </c>
      <c r="H2378" s="3" t="s">
        <v>100</v>
      </c>
      <c r="I2378" s="3" t="s">
        <v>101</v>
      </c>
      <c r="J2378" s="3" t="s">
        <v>125</v>
      </c>
      <c r="K2378" s="3" t="s">
        <v>1845</v>
      </c>
      <c r="L2378" s="4">
        <v>0.2986111111111111</v>
      </c>
      <c r="M2378" s="3" t="s">
        <v>1209</v>
      </c>
      <c r="N2378" s="3" t="s">
        <v>24</v>
      </c>
      <c r="O2378" s="3" t="s">
        <v>25</v>
      </c>
    </row>
    <row r="2379" spans="1:15">
      <c r="A2379" s="3" t="s">
        <v>15</v>
      </c>
      <c r="B2379" s="3" t="str">
        <f>"FES1162742442"</f>
        <v>FES1162742442</v>
      </c>
      <c r="C2379" s="3" t="s">
        <v>1666</v>
      </c>
      <c r="D2379" s="3">
        <v>1</v>
      </c>
      <c r="E2379" s="3" t="str">
        <f>"2170733957"</f>
        <v>2170733957</v>
      </c>
      <c r="F2379" s="3" t="s">
        <v>17</v>
      </c>
      <c r="G2379" s="3" t="s">
        <v>18</v>
      </c>
      <c r="H2379" s="3" t="s">
        <v>100</v>
      </c>
      <c r="I2379" s="3" t="s">
        <v>101</v>
      </c>
      <c r="J2379" s="3" t="s">
        <v>131</v>
      </c>
      <c r="K2379" s="3" t="s">
        <v>1845</v>
      </c>
      <c r="L2379" s="4">
        <v>0.36736111111111108</v>
      </c>
      <c r="M2379" s="3" t="s">
        <v>132</v>
      </c>
      <c r="N2379" s="3" t="s">
        <v>24</v>
      </c>
      <c r="O2379" s="3" t="s">
        <v>25</v>
      </c>
    </row>
    <row r="2380" spans="1:15">
      <c r="A2380" s="3" t="s">
        <v>15</v>
      </c>
      <c r="B2380" s="3" t="str">
        <f>"FES1162742516"</f>
        <v>FES1162742516</v>
      </c>
      <c r="C2380" s="3" t="s">
        <v>1666</v>
      </c>
      <c r="D2380" s="3">
        <v>1</v>
      </c>
      <c r="E2380" s="3" t="str">
        <f>"2170734033"</f>
        <v>2170734033</v>
      </c>
      <c r="F2380" s="3" t="s">
        <v>17</v>
      </c>
      <c r="G2380" s="3" t="s">
        <v>18</v>
      </c>
      <c r="H2380" s="3" t="s">
        <v>36</v>
      </c>
      <c r="I2380" s="3" t="s">
        <v>37</v>
      </c>
      <c r="J2380" s="3" t="s">
        <v>260</v>
      </c>
      <c r="K2380" s="3" t="s">
        <v>1845</v>
      </c>
      <c r="L2380" s="4">
        <v>0.39999999999999997</v>
      </c>
      <c r="M2380" s="3" t="s">
        <v>788</v>
      </c>
      <c r="N2380" s="3" t="s">
        <v>24</v>
      </c>
      <c r="O2380" s="3" t="s">
        <v>25</v>
      </c>
    </row>
    <row r="2381" spans="1:15">
      <c r="A2381" s="3" t="s">
        <v>15</v>
      </c>
      <c r="B2381" s="3" t="str">
        <f>"FES1162742472"</f>
        <v>FES1162742472</v>
      </c>
      <c r="C2381" s="3" t="s">
        <v>1666</v>
      </c>
      <c r="D2381" s="3">
        <v>1</v>
      </c>
      <c r="E2381" s="3" t="str">
        <f>"2170732454"</f>
        <v>2170732454</v>
      </c>
      <c r="F2381" s="3" t="s">
        <v>17</v>
      </c>
      <c r="G2381" s="3" t="s">
        <v>18</v>
      </c>
      <c r="H2381" s="3" t="s">
        <v>100</v>
      </c>
      <c r="I2381" s="3" t="s">
        <v>101</v>
      </c>
      <c r="J2381" s="3" t="s">
        <v>1217</v>
      </c>
      <c r="K2381" s="3" t="s">
        <v>1845</v>
      </c>
      <c r="L2381" s="4">
        <v>0.37708333333333338</v>
      </c>
      <c r="M2381" s="3" t="s">
        <v>254</v>
      </c>
      <c r="N2381" s="3" t="s">
        <v>24</v>
      </c>
      <c r="O2381" s="3" t="s">
        <v>25</v>
      </c>
    </row>
    <row r="2382" spans="1:15">
      <c r="A2382" s="3" t="s">
        <v>15</v>
      </c>
      <c r="B2382" s="3" t="str">
        <f>"FES1162742449"</f>
        <v>FES1162742449</v>
      </c>
      <c r="C2382" s="3" t="s">
        <v>1666</v>
      </c>
      <c r="D2382" s="3">
        <v>1</v>
      </c>
      <c r="E2382" s="3" t="str">
        <f>"2170730352"</f>
        <v>2170730352</v>
      </c>
      <c r="F2382" s="3" t="s">
        <v>17</v>
      </c>
      <c r="G2382" s="3" t="s">
        <v>18</v>
      </c>
      <c r="H2382" s="3" t="s">
        <v>19</v>
      </c>
      <c r="I2382" s="3" t="s">
        <v>51</v>
      </c>
      <c r="J2382" s="3" t="s">
        <v>89</v>
      </c>
      <c r="K2382" s="3" t="s">
        <v>1845</v>
      </c>
      <c r="L2382" s="4">
        <v>0.375</v>
      </c>
      <c r="M2382" s="3" t="s">
        <v>90</v>
      </c>
      <c r="N2382" s="3" t="s">
        <v>24</v>
      </c>
      <c r="O2382" s="3" t="s">
        <v>25</v>
      </c>
    </row>
    <row r="2383" spans="1:15">
      <c r="A2383" s="5" t="s">
        <v>15</v>
      </c>
      <c r="B2383" s="5" t="str">
        <f>"FES1162742483"</f>
        <v>FES1162742483</v>
      </c>
      <c r="C2383" s="5" t="s">
        <v>1666</v>
      </c>
      <c r="D2383" s="5">
        <v>1</v>
      </c>
      <c r="E2383" s="5" t="str">
        <f>"2170733995"</f>
        <v>2170733995</v>
      </c>
      <c r="F2383" s="5" t="s">
        <v>17</v>
      </c>
      <c r="G2383" s="5" t="s">
        <v>18</v>
      </c>
      <c r="H2383" s="5" t="s">
        <v>19</v>
      </c>
      <c r="I2383" s="5" t="s">
        <v>51</v>
      </c>
      <c r="J2383" s="5" t="s">
        <v>1083</v>
      </c>
      <c r="K2383" s="5" t="s">
        <v>1845</v>
      </c>
      <c r="L2383" s="6">
        <v>0.35069444444444442</v>
      </c>
      <c r="M2383" s="5" t="s">
        <v>1084</v>
      </c>
      <c r="N2383" s="5" t="s">
        <v>24</v>
      </c>
      <c r="O2383" s="5" t="s">
        <v>25</v>
      </c>
    </row>
    <row r="2384" spans="1:15">
      <c r="A2384" s="5" t="s">
        <v>15</v>
      </c>
      <c r="B2384" s="5" t="str">
        <f>"FES1162742427"</f>
        <v>FES1162742427</v>
      </c>
      <c r="C2384" s="5" t="s">
        <v>1666</v>
      </c>
      <c r="D2384" s="5">
        <v>1</v>
      </c>
      <c r="E2384" s="5" t="str">
        <f>"217073795"</f>
        <v>217073795</v>
      </c>
      <c r="F2384" s="5" t="s">
        <v>17</v>
      </c>
      <c r="G2384" s="5" t="s">
        <v>18</v>
      </c>
      <c r="H2384" s="5" t="s">
        <v>19</v>
      </c>
      <c r="I2384" s="5" t="s">
        <v>51</v>
      </c>
      <c r="J2384" s="5" t="s">
        <v>1924</v>
      </c>
      <c r="K2384" s="5" t="s">
        <v>1845</v>
      </c>
      <c r="L2384" s="6">
        <v>0.38541666666666669</v>
      </c>
      <c r="M2384" s="5" t="s">
        <v>1925</v>
      </c>
      <c r="N2384" s="5" t="s">
        <v>24</v>
      </c>
      <c r="O2384" s="5" t="s">
        <v>25</v>
      </c>
    </row>
    <row r="2385" spans="1:15">
      <c r="A2385" s="5" t="s">
        <v>15</v>
      </c>
      <c r="B2385" s="5" t="str">
        <f>"FES1162742500"</f>
        <v>FES1162742500</v>
      </c>
      <c r="C2385" s="5" t="s">
        <v>1666</v>
      </c>
      <c r="D2385" s="5">
        <v>1</v>
      </c>
      <c r="E2385" s="5" t="str">
        <f>"2170734017"</f>
        <v>2170734017</v>
      </c>
      <c r="F2385" s="5" t="s">
        <v>17</v>
      </c>
      <c r="G2385" s="5" t="s">
        <v>18</v>
      </c>
      <c r="H2385" s="5" t="s">
        <v>40</v>
      </c>
      <c r="I2385" s="5" t="s">
        <v>41</v>
      </c>
      <c r="J2385" s="5" t="s">
        <v>282</v>
      </c>
      <c r="K2385" s="5" t="s">
        <v>1845</v>
      </c>
      <c r="L2385" s="6">
        <v>0.38680555555555557</v>
      </c>
      <c r="M2385" s="5" t="s">
        <v>1926</v>
      </c>
      <c r="N2385" s="5" t="s">
        <v>24</v>
      </c>
      <c r="O2385" s="5" t="s">
        <v>25</v>
      </c>
    </row>
    <row r="2386" spans="1:15">
      <c r="A2386" s="5" t="s">
        <v>15</v>
      </c>
      <c r="B2386" s="5" t="str">
        <f>"FES1162742468"</f>
        <v>FES1162742468</v>
      </c>
      <c r="C2386" s="5" t="s">
        <v>1666</v>
      </c>
      <c r="D2386" s="5">
        <v>1</v>
      </c>
      <c r="E2386" s="5" t="str">
        <f>"2170733832"</f>
        <v>2170733832</v>
      </c>
      <c r="F2386" s="5" t="s">
        <v>17</v>
      </c>
      <c r="G2386" s="5" t="s">
        <v>18</v>
      </c>
      <c r="H2386" s="5" t="s">
        <v>36</v>
      </c>
      <c r="I2386" s="5" t="s">
        <v>1145</v>
      </c>
      <c r="J2386" s="5" t="s">
        <v>1847</v>
      </c>
      <c r="K2386" s="5" t="s">
        <v>1845</v>
      </c>
      <c r="L2386" s="6">
        <v>0.38680555555555557</v>
      </c>
      <c r="M2386" s="5" t="s">
        <v>1927</v>
      </c>
      <c r="N2386" s="5" t="s">
        <v>24</v>
      </c>
      <c r="O2386" s="5" t="s">
        <v>1681</v>
      </c>
    </row>
    <row r="2387" spans="1:15">
      <c r="A2387" s="5" t="s">
        <v>15</v>
      </c>
      <c r="B2387" s="5" t="str">
        <f>"FES1162742509"</f>
        <v>FES1162742509</v>
      </c>
      <c r="C2387" s="5" t="s">
        <v>1666</v>
      </c>
      <c r="D2387" s="5">
        <v>1</v>
      </c>
      <c r="E2387" s="5" t="str">
        <f>"2170734024"</f>
        <v>2170734024</v>
      </c>
      <c r="F2387" s="5" t="s">
        <v>17</v>
      </c>
      <c r="G2387" s="5" t="s">
        <v>18</v>
      </c>
      <c r="H2387" s="5" t="s">
        <v>36</v>
      </c>
      <c r="I2387" s="5" t="s">
        <v>330</v>
      </c>
      <c r="J2387" s="5" t="s">
        <v>331</v>
      </c>
      <c r="K2387" s="5" t="s">
        <v>1845</v>
      </c>
      <c r="L2387" s="6">
        <v>0.38125000000000003</v>
      </c>
      <c r="M2387" s="5" t="s">
        <v>332</v>
      </c>
      <c r="N2387" s="5" t="s">
        <v>24</v>
      </c>
      <c r="O2387" s="5" t="s">
        <v>25</v>
      </c>
    </row>
    <row r="2388" spans="1:15">
      <c r="A2388" s="5" t="s">
        <v>15</v>
      </c>
      <c r="B2388" s="5" t="str">
        <f>"FES1162742467"</f>
        <v>FES1162742467</v>
      </c>
      <c r="C2388" s="5" t="s">
        <v>1666</v>
      </c>
      <c r="D2388" s="5">
        <v>1</v>
      </c>
      <c r="E2388" s="5" t="str">
        <f>"2170733811"</f>
        <v>2170733811</v>
      </c>
      <c r="F2388" s="5" t="s">
        <v>17</v>
      </c>
      <c r="G2388" s="5" t="s">
        <v>18</v>
      </c>
      <c r="H2388" s="5" t="s">
        <v>46</v>
      </c>
      <c r="I2388" s="5" t="s">
        <v>47</v>
      </c>
      <c r="J2388" s="5" t="s">
        <v>1857</v>
      </c>
      <c r="K2388" s="5" t="s">
        <v>1845</v>
      </c>
      <c r="L2388" s="6">
        <v>0.41666666666666669</v>
      </c>
      <c r="M2388" s="5" t="s">
        <v>1859</v>
      </c>
      <c r="N2388" s="5" t="s">
        <v>24</v>
      </c>
      <c r="O2388" s="5" t="s">
        <v>25</v>
      </c>
    </row>
    <row r="2389" spans="1:15">
      <c r="A2389" s="3" t="s">
        <v>15</v>
      </c>
      <c r="B2389" s="3" t="str">
        <f>"FES1162742465"</f>
        <v>FES1162742465</v>
      </c>
      <c r="C2389" s="3" t="s">
        <v>1666</v>
      </c>
      <c r="D2389" s="3">
        <v>1</v>
      </c>
      <c r="E2389" s="3" t="str">
        <f>"2170733775"</f>
        <v>2170733775</v>
      </c>
      <c r="F2389" s="3" t="s">
        <v>17</v>
      </c>
      <c r="G2389" s="3" t="s">
        <v>18</v>
      </c>
      <c r="H2389" s="3" t="s">
        <v>36</v>
      </c>
      <c r="I2389" s="3" t="s">
        <v>330</v>
      </c>
      <c r="J2389" s="3" t="s">
        <v>331</v>
      </c>
      <c r="K2389" s="3" t="s">
        <v>1845</v>
      </c>
      <c r="L2389" s="4">
        <v>0.38125000000000003</v>
      </c>
      <c r="M2389" s="3" t="s">
        <v>332</v>
      </c>
      <c r="N2389" s="3" t="s">
        <v>24</v>
      </c>
      <c r="O2389" s="3" t="s">
        <v>25</v>
      </c>
    </row>
    <row r="2390" spans="1:15">
      <c r="A2390" s="3" t="s">
        <v>15</v>
      </c>
      <c r="B2390" s="3" t="str">
        <f>"FES1162742316"</f>
        <v>FES1162742316</v>
      </c>
      <c r="C2390" s="3" t="s">
        <v>1666</v>
      </c>
      <c r="D2390" s="3">
        <v>1</v>
      </c>
      <c r="E2390" s="3" t="str">
        <f>"2170733824"</f>
        <v>2170733824</v>
      </c>
      <c r="F2390" s="3" t="s">
        <v>17</v>
      </c>
      <c r="G2390" s="3" t="s">
        <v>18</v>
      </c>
      <c r="H2390" s="3" t="s">
        <v>46</v>
      </c>
      <c r="I2390" s="3" t="s">
        <v>47</v>
      </c>
      <c r="J2390" s="3" t="s">
        <v>241</v>
      </c>
      <c r="K2390" s="3" t="s">
        <v>1845</v>
      </c>
      <c r="L2390" s="4">
        <v>0.43402777777777773</v>
      </c>
      <c r="M2390" s="3" t="s">
        <v>1928</v>
      </c>
      <c r="N2390" s="3" t="s">
        <v>24</v>
      </c>
      <c r="O2390" s="3" t="s">
        <v>25</v>
      </c>
    </row>
    <row r="2391" spans="1:15">
      <c r="A2391" s="7" t="s">
        <v>15</v>
      </c>
      <c r="B2391" s="7" t="str">
        <f>"FES1162742493"</f>
        <v>FES1162742493</v>
      </c>
      <c r="C2391" s="7" t="s">
        <v>1666</v>
      </c>
      <c r="D2391" s="7">
        <v>1</v>
      </c>
      <c r="E2391" s="7" t="str">
        <f>"2170734010"</f>
        <v>2170734010</v>
      </c>
      <c r="F2391" s="7" t="s">
        <v>17</v>
      </c>
      <c r="G2391" s="7" t="s">
        <v>18</v>
      </c>
      <c r="H2391" s="7" t="s">
        <v>18</v>
      </c>
      <c r="I2391" s="7" t="s">
        <v>29</v>
      </c>
      <c r="J2391" s="7" t="s">
        <v>1929</v>
      </c>
      <c r="K2391" s="7" t="s">
        <v>447</v>
      </c>
      <c r="L2391" s="7"/>
      <c r="M2391" s="7" t="s">
        <v>448</v>
      </c>
      <c r="N2391" s="7" t="s">
        <v>1930</v>
      </c>
      <c r="O2391" s="7" t="s">
        <v>1930</v>
      </c>
    </row>
    <row r="2392" spans="1:15">
      <c r="A2392" s="3" t="s">
        <v>15</v>
      </c>
      <c r="B2392" s="3" t="str">
        <f>"FES1162742450"</f>
        <v>FES1162742450</v>
      </c>
      <c r="C2392" s="3" t="s">
        <v>1666</v>
      </c>
      <c r="D2392" s="3">
        <v>1</v>
      </c>
      <c r="E2392" s="3" t="str">
        <f>"2170733967"</f>
        <v>2170733967</v>
      </c>
      <c r="F2392" s="3" t="s">
        <v>17</v>
      </c>
      <c r="G2392" s="3" t="s">
        <v>18</v>
      </c>
      <c r="H2392" s="3" t="s">
        <v>66</v>
      </c>
      <c r="I2392" s="3" t="s">
        <v>67</v>
      </c>
      <c r="J2392" s="3" t="s">
        <v>298</v>
      </c>
      <c r="K2392" s="3" t="s">
        <v>1845</v>
      </c>
      <c r="L2392" s="4">
        <v>0.38750000000000001</v>
      </c>
      <c r="M2392" s="3" t="s">
        <v>1886</v>
      </c>
      <c r="N2392" s="3" t="s">
        <v>24</v>
      </c>
      <c r="O2392" s="3" t="s">
        <v>25</v>
      </c>
    </row>
    <row r="2393" spans="1:15">
      <c r="A2393" s="3" t="s">
        <v>15</v>
      </c>
      <c r="B2393" s="3" t="str">
        <f>"FES1162742462"</f>
        <v>FES1162742462</v>
      </c>
      <c r="C2393" s="3" t="s">
        <v>1666</v>
      </c>
      <c r="D2393" s="3">
        <v>1</v>
      </c>
      <c r="E2393" s="3" t="str">
        <f>"2170733976"</f>
        <v>2170733976</v>
      </c>
      <c r="F2393" s="3" t="s">
        <v>17</v>
      </c>
      <c r="G2393" s="3" t="s">
        <v>18</v>
      </c>
      <c r="H2393" s="3" t="s">
        <v>18</v>
      </c>
      <c r="I2393" s="3" t="s">
        <v>341</v>
      </c>
      <c r="J2393" s="3" t="s">
        <v>923</v>
      </c>
      <c r="K2393" s="3" t="s">
        <v>1845</v>
      </c>
      <c r="L2393" s="4">
        <v>0.375</v>
      </c>
      <c r="M2393" s="3" t="s">
        <v>1050</v>
      </c>
      <c r="N2393" s="3" t="s">
        <v>24</v>
      </c>
      <c r="O2393" s="3" t="s">
        <v>25</v>
      </c>
    </row>
    <row r="2394" spans="1:15">
      <c r="A2394" s="3" t="s">
        <v>15</v>
      </c>
      <c r="B2394" s="3" t="str">
        <f>"FES1162742470"</f>
        <v>FES1162742470</v>
      </c>
      <c r="C2394" s="3" t="s">
        <v>1666</v>
      </c>
      <c r="D2394" s="3">
        <v>1</v>
      </c>
      <c r="E2394" s="3" t="str">
        <f>"2170733983"</f>
        <v>2170733983</v>
      </c>
      <c r="F2394" s="3" t="s">
        <v>17</v>
      </c>
      <c r="G2394" s="3" t="s">
        <v>18</v>
      </c>
      <c r="H2394" s="3" t="s">
        <v>18</v>
      </c>
      <c r="I2394" s="3" t="s">
        <v>33</v>
      </c>
      <c r="J2394" s="3" t="s">
        <v>1878</v>
      </c>
      <c r="K2394" s="3" t="s">
        <v>1845</v>
      </c>
      <c r="L2394" s="4">
        <v>0.37152777777777773</v>
      </c>
      <c r="M2394" s="3" t="s">
        <v>461</v>
      </c>
      <c r="N2394" s="3" t="s">
        <v>24</v>
      </c>
      <c r="O2394" s="3" t="s">
        <v>25</v>
      </c>
    </row>
    <row r="2395" spans="1:15">
      <c r="A2395" s="3" t="s">
        <v>15</v>
      </c>
      <c r="B2395" s="3" t="str">
        <f>"FES1162742490"</f>
        <v>FES1162742490</v>
      </c>
      <c r="C2395" s="3" t="s">
        <v>1666</v>
      </c>
      <c r="D2395" s="3">
        <v>1</v>
      </c>
      <c r="E2395" s="3" t="str">
        <f>"2170734007"</f>
        <v>2170734007</v>
      </c>
      <c r="F2395" s="3" t="s">
        <v>17</v>
      </c>
      <c r="G2395" s="3" t="s">
        <v>18</v>
      </c>
      <c r="H2395" s="3" t="s">
        <v>66</v>
      </c>
      <c r="I2395" s="3" t="s">
        <v>67</v>
      </c>
      <c r="J2395" s="3" t="s">
        <v>644</v>
      </c>
      <c r="K2395" s="3" t="s">
        <v>1845</v>
      </c>
      <c r="L2395" s="4">
        <v>0.38194444444444442</v>
      </c>
      <c r="M2395" s="3" t="s">
        <v>645</v>
      </c>
      <c r="N2395" s="3" t="s">
        <v>24</v>
      </c>
      <c r="O2395" s="3" t="s">
        <v>25</v>
      </c>
    </row>
    <row r="2396" spans="1:15">
      <c r="A2396" s="3" t="s">
        <v>15</v>
      </c>
      <c r="B2396" s="3" t="str">
        <f>"FES1162742460"</f>
        <v>FES1162742460</v>
      </c>
      <c r="C2396" s="3" t="s">
        <v>1666</v>
      </c>
      <c r="D2396" s="3">
        <v>1</v>
      </c>
      <c r="E2396" s="3" t="str">
        <f>"2170733972"</f>
        <v>2170733972</v>
      </c>
      <c r="F2396" s="3" t="s">
        <v>17</v>
      </c>
      <c r="G2396" s="3" t="s">
        <v>18</v>
      </c>
      <c r="H2396" s="3" t="s">
        <v>18</v>
      </c>
      <c r="I2396" s="3" t="s">
        <v>29</v>
      </c>
      <c r="J2396" s="3" t="s">
        <v>270</v>
      </c>
      <c r="K2396" s="3" t="s">
        <v>1845</v>
      </c>
      <c r="L2396" s="4">
        <v>0.375</v>
      </c>
      <c r="M2396" s="3" t="s">
        <v>1931</v>
      </c>
      <c r="N2396" s="3" t="s">
        <v>24</v>
      </c>
      <c r="O2396" s="3" t="s">
        <v>25</v>
      </c>
    </row>
    <row r="2397" spans="1:15">
      <c r="A2397" s="3" t="s">
        <v>15</v>
      </c>
      <c r="B2397" s="3" t="str">
        <f>"FES1162742400"</f>
        <v>FES1162742400</v>
      </c>
      <c r="C2397" s="3" t="s">
        <v>1666</v>
      </c>
      <c r="D2397" s="3">
        <v>1</v>
      </c>
      <c r="E2397" s="3" t="str">
        <f>"2170731565"</f>
        <v>2170731565</v>
      </c>
      <c r="F2397" s="3" t="s">
        <v>17</v>
      </c>
      <c r="G2397" s="3" t="s">
        <v>18</v>
      </c>
      <c r="H2397" s="3" t="s">
        <v>18</v>
      </c>
      <c r="I2397" s="3" t="s">
        <v>29</v>
      </c>
      <c r="J2397" s="3" t="s">
        <v>1319</v>
      </c>
      <c r="K2397" s="3" t="s">
        <v>1845</v>
      </c>
      <c r="L2397" s="4">
        <v>0.38194444444444442</v>
      </c>
      <c r="M2397" s="3" t="s">
        <v>1320</v>
      </c>
      <c r="N2397" s="3" t="s">
        <v>24</v>
      </c>
      <c r="O2397" s="3" t="s">
        <v>25</v>
      </c>
    </row>
    <row r="2398" spans="1:15">
      <c r="A2398" s="3" t="s">
        <v>15</v>
      </c>
      <c r="B2398" s="3" t="str">
        <f>"FES1162742501"</f>
        <v>FES1162742501</v>
      </c>
      <c r="C2398" s="3" t="s">
        <v>1666</v>
      </c>
      <c r="D2398" s="3">
        <v>1</v>
      </c>
      <c r="E2398" s="3" t="str">
        <f>"2170734018"</f>
        <v>2170734018</v>
      </c>
      <c r="F2398" s="3" t="s">
        <v>17</v>
      </c>
      <c r="G2398" s="3" t="s">
        <v>18</v>
      </c>
      <c r="H2398" s="3" t="s">
        <v>18</v>
      </c>
      <c r="I2398" s="3" t="s">
        <v>33</v>
      </c>
      <c r="J2398" s="3" t="s">
        <v>1478</v>
      </c>
      <c r="K2398" s="3" t="s">
        <v>1845</v>
      </c>
      <c r="L2398" s="4">
        <v>0.31597222222222221</v>
      </c>
      <c r="M2398" s="3" t="s">
        <v>1932</v>
      </c>
      <c r="N2398" s="3" t="s">
        <v>24</v>
      </c>
      <c r="O2398" s="3" t="s">
        <v>25</v>
      </c>
    </row>
    <row r="2399" spans="1:15">
      <c r="A2399" s="3" t="s">
        <v>15</v>
      </c>
      <c r="B2399" s="3" t="str">
        <f>"FES1162742492"</f>
        <v>FES1162742492</v>
      </c>
      <c r="C2399" s="3" t="s">
        <v>1666</v>
      </c>
      <c r="D2399" s="3">
        <v>1</v>
      </c>
      <c r="E2399" s="3" t="str">
        <f>"2170734009"</f>
        <v>2170734009</v>
      </c>
      <c r="F2399" s="3" t="s">
        <v>17</v>
      </c>
      <c r="G2399" s="3" t="s">
        <v>18</v>
      </c>
      <c r="H2399" s="3" t="s">
        <v>18</v>
      </c>
      <c r="I2399" s="3" t="s">
        <v>29</v>
      </c>
      <c r="J2399" s="3" t="s">
        <v>1211</v>
      </c>
      <c r="K2399" s="3" t="s">
        <v>1845</v>
      </c>
      <c r="L2399" s="4">
        <v>0.34513888888888888</v>
      </c>
      <c r="M2399" s="3" t="s">
        <v>1872</v>
      </c>
      <c r="N2399" s="3" t="s">
        <v>24</v>
      </c>
      <c r="O2399" s="3" t="s">
        <v>25</v>
      </c>
    </row>
    <row r="2400" spans="1:15">
      <c r="A2400" s="3" t="s">
        <v>15</v>
      </c>
      <c r="B2400" s="3" t="str">
        <f>"FES1162742502"</f>
        <v>FES1162742502</v>
      </c>
      <c r="C2400" s="3" t="s">
        <v>1666</v>
      </c>
      <c r="D2400" s="3">
        <v>1</v>
      </c>
      <c r="E2400" s="3" t="str">
        <f>"2170733937"</f>
        <v>2170733937</v>
      </c>
      <c r="F2400" s="3" t="s">
        <v>17</v>
      </c>
      <c r="G2400" s="3" t="s">
        <v>18</v>
      </c>
      <c r="H2400" s="3" t="s">
        <v>1518</v>
      </c>
      <c r="I2400" s="3" t="s">
        <v>1519</v>
      </c>
      <c r="J2400" s="3" t="s">
        <v>1520</v>
      </c>
      <c r="K2400" s="3" t="s">
        <v>1845</v>
      </c>
      <c r="L2400" s="4">
        <v>0.41666666666666669</v>
      </c>
      <c r="M2400" s="3" t="s">
        <v>1933</v>
      </c>
      <c r="N2400" s="3" t="s">
        <v>24</v>
      </c>
      <c r="O2400" s="3" t="s">
        <v>25</v>
      </c>
    </row>
    <row r="2401" spans="1:15">
      <c r="A2401" s="3" t="s">
        <v>15</v>
      </c>
      <c r="B2401" s="3" t="str">
        <f>"FES1162742188"</f>
        <v>FES1162742188</v>
      </c>
      <c r="C2401" s="3" t="s">
        <v>1666</v>
      </c>
      <c r="D2401" s="3">
        <v>1</v>
      </c>
      <c r="E2401" s="3" t="str">
        <f>"2170733680"</f>
        <v>2170733680</v>
      </c>
      <c r="F2401" s="3" t="s">
        <v>17</v>
      </c>
      <c r="G2401" s="3" t="s">
        <v>18</v>
      </c>
      <c r="H2401" s="3" t="s">
        <v>1518</v>
      </c>
      <c r="I2401" s="3" t="s">
        <v>1519</v>
      </c>
      <c r="J2401" s="3" t="s">
        <v>1520</v>
      </c>
      <c r="K2401" s="3" t="s">
        <v>1845</v>
      </c>
      <c r="L2401" s="4">
        <v>0.41666666666666669</v>
      </c>
      <c r="M2401" s="3" t="s">
        <v>1933</v>
      </c>
      <c r="N2401" s="3" t="s">
        <v>24</v>
      </c>
      <c r="O2401" s="3" t="s">
        <v>25</v>
      </c>
    </row>
    <row r="2402" spans="1:15">
      <c r="A2402" s="3" t="s">
        <v>15</v>
      </c>
      <c r="B2402" s="3" t="str">
        <f>"FES1162742485"</f>
        <v>FES1162742485</v>
      </c>
      <c r="C2402" s="3" t="s">
        <v>1666</v>
      </c>
      <c r="D2402" s="3">
        <v>1</v>
      </c>
      <c r="E2402" s="3" t="str">
        <f>"2170733996"</f>
        <v>2170733996</v>
      </c>
      <c r="F2402" s="3" t="s">
        <v>17</v>
      </c>
      <c r="G2402" s="3" t="s">
        <v>18</v>
      </c>
      <c r="H2402" s="3" t="s">
        <v>18</v>
      </c>
      <c r="I2402" s="3" t="s">
        <v>33</v>
      </c>
      <c r="J2402" s="3" t="s">
        <v>229</v>
      </c>
      <c r="K2402" s="3" t="s">
        <v>1845</v>
      </c>
      <c r="L2402" s="4">
        <v>0.33333333333333331</v>
      </c>
      <c r="M2402" s="3" t="s">
        <v>1934</v>
      </c>
      <c r="N2402" s="3" t="s">
        <v>24</v>
      </c>
      <c r="O2402" s="3" t="s">
        <v>25</v>
      </c>
    </row>
    <row r="2403" spans="1:15">
      <c r="A2403" s="3" t="s">
        <v>15</v>
      </c>
      <c r="B2403" s="3" t="str">
        <f>"FES1162742497"</f>
        <v>FES1162742497</v>
      </c>
      <c r="C2403" s="3" t="s">
        <v>1666</v>
      </c>
      <c r="D2403" s="3">
        <v>1</v>
      </c>
      <c r="E2403" s="3" t="str">
        <f>"2170734012"</f>
        <v>2170734012</v>
      </c>
      <c r="F2403" s="3" t="s">
        <v>17</v>
      </c>
      <c r="G2403" s="3" t="s">
        <v>18</v>
      </c>
      <c r="H2403" s="3" t="s">
        <v>18</v>
      </c>
      <c r="I2403" s="3" t="s">
        <v>168</v>
      </c>
      <c r="J2403" s="3" t="s">
        <v>667</v>
      </c>
      <c r="K2403" s="3" t="s">
        <v>1845</v>
      </c>
      <c r="L2403" s="4">
        <v>0.36458333333333331</v>
      </c>
      <c r="M2403" s="3" t="s">
        <v>1935</v>
      </c>
      <c r="N2403" s="3" t="s">
        <v>24</v>
      </c>
      <c r="O2403" s="3" t="s">
        <v>25</v>
      </c>
    </row>
    <row r="2404" spans="1:15">
      <c r="A2404" s="3" t="s">
        <v>15</v>
      </c>
      <c r="B2404" s="3" t="str">
        <f>"FES1162742498"</f>
        <v>FES1162742498</v>
      </c>
      <c r="C2404" s="3" t="s">
        <v>1666</v>
      </c>
      <c r="D2404" s="3">
        <v>1</v>
      </c>
      <c r="E2404" s="3" t="str">
        <f>"2170734014"</f>
        <v>2170734014</v>
      </c>
      <c r="F2404" s="3" t="s">
        <v>17</v>
      </c>
      <c r="G2404" s="3" t="s">
        <v>18</v>
      </c>
      <c r="H2404" s="3" t="s">
        <v>70</v>
      </c>
      <c r="I2404" s="3" t="s">
        <v>71</v>
      </c>
      <c r="J2404" s="3" t="s">
        <v>252</v>
      </c>
      <c r="K2404" s="3" t="s">
        <v>1845</v>
      </c>
      <c r="L2404" s="4">
        <v>0.3611111111111111</v>
      </c>
      <c r="M2404" s="3" t="s">
        <v>1936</v>
      </c>
      <c r="N2404" s="3" t="s">
        <v>24</v>
      </c>
      <c r="O2404" s="3" t="s">
        <v>25</v>
      </c>
    </row>
    <row r="2405" spans="1:15">
      <c r="A2405" s="3" t="s">
        <v>15</v>
      </c>
      <c r="B2405" s="3" t="str">
        <f>"FES1162742289"</f>
        <v>FES1162742289</v>
      </c>
      <c r="C2405" s="3" t="s">
        <v>1666</v>
      </c>
      <c r="D2405" s="3">
        <v>1</v>
      </c>
      <c r="E2405" s="3" t="str">
        <f>"2170733802"</f>
        <v>2170733802</v>
      </c>
      <c r="F2405" s="3" t="s">
        <v>17</v>
      </c>
      <c r="G2405" s="3" t="s">
        <v>18</v>
      </c>
      <c r="H2405" s="3" t="s">
        <v>66</v>
      </c>
      <c r="I2405" s="3" t="s">
        <v>67</v>
      </c>
      <c r="J2405" s="3" t="s">
        <v>368</v>
      </c>
      <c r="K2405" s="3" t="s">
        <v>1845</v>
      </c>
      <c r="L2405" s="4">
        <v>0.4375</v>
      </c>
      <c r="M2405" s="3" t="s">
        <v>1937</v>
      </c>
      <c r="N2405" s="3" t="s">
        <v>24</v>
      </c>
      <c r="O2405" s="3" t="s">
        <v>25</v>
      </c>
    </row>
    <row r="2406" spans="1:15">
      <c r="A2406" s="3" t="s">
        <v>15</v>
      </c>
      <c r="B2406" s="3" t="str">
        <f>"FES1162742491"</f>
        <v>FES1162742491</v>
      </c>
      <c r="C2406" s="3" t="s">
        <v>1666</v>
      </c>
      <c r="D2406" s="3">
        <v>1</v>
      </c>
      <c r="E2406" s="3" t="str">
        <f>"2170734008"</f>
        <v>2170734008</v>
      </c>
      <c r="F2406" s="3" t="s">
        <v>17</v>
      </c>
      <c r="G2406" s="3" t="s">
        <v>18</v>
      </c>
      <c r="H2406" s="3" t="s">
        <v>19</v>
      </c>
      <c r="I2406" s="3" t="s">
        <v>20</v>
      </c>
      <c r="J2406" s="3" t="s">
        <v>56</v>
      </c>
      <c r="K2406" s="3" t="s">
        <v>1845</v>
      </c>
      <c r="L2406" s="4">
        <v>0.3666666666666667</v>
      </c>
      <c r="M2406" s="3" t="s">
        <v>57</v>
      </c>
      <c r="N2406" s="3" t="s">
        <v>24</v>
      </c>
      <c r="O2406" s="3" t="s">
        <v>25</v>
      </c>
    </row>
    <row r="2407" spans="1:15">
      <c r="A2407" s="3" t="s">
        <v>15</v>
      </c>
      <c r="B2407" s="3" t="str">
        <f>"FES1162742439"</f>
        <v>FES1162742439</v>
      </c>
      <c r="C2407" s="3" t="s">
        <v>1666</v>
      </c>
      <c r="D2407" s="3">
        <v>1</v>
      </c>
      <c r="E2407" s="3" t="str">
        <f>"2170731682"</f>
        <v>2170731682</v>
      </c>
      <c r="F2407" s="3" t="s">
        <v>17</v>
      </c>
      <c r="G2407" s="3" t="s">
        <v>18</v>
      </c>
      <c r="H2407" s="3" t="s">
        <v>19</v>
      </c>
      <c r="I2407" s="3" t="s">
        <v>51</v>
      </c>
      <c r="J2407" s="3" t="s">
        <v>89</v>
      </c>
      <c r="K2407" s="3" t="s">
        <v>1845</v>
      </c>
      <c r="L2407" s="4">
        <v>0.375</v>
      </c>
      <c r="M2407" s="3" t="s">
        <v>90</v>
      </c>
      <c r="N2407" s="3" t="s">
        <v>24</v>
      </c>
      <c r="O2407" s="3" t="s">
        <v>25</v>
      </c>
    </row>
    <row r="2408" spans="1:15">
      <c r="A2408" s="7" t="s">
        <v>15</v>
      </c>
      <c r="B2408" s="7" t="str">
        <f>"FES1162742513"</f>
        <v>FES1162742513</v>
      </c>
      <c r="C2408" s="7" t="s">
        <v>1666</v>
      </c>
      <c r="D2408" s="7">
        <v>1</v>
      </c>
      <c r="E2408" s="7" t="str">
        <f>"2170734030"</f>
        <v>2170734030</v>
      </c>
      <c r="F2408" s="7" t="s">
        <v>17</v>
      </c>
      <c r="G2408" s="7" t="s">
        <v>18</v>
      </c>
      <c r="H2408" s="7" t="s">
        <v>66</v>
      </c>
      <c r="I2408" s="7" t="s">
        <v>67</v>
      </c>
      <c r="J2408" s="7" t="s">
        <v>1938</v>
      </c>
      <c r="K2408" s="7" t="s">
        <v>447</v>
      </c>
      <c r="L2408" s="7"/>
      <c r="M2408" s="7" t="s">
        <v>448</v>
      </c>
      <c r="N2408" s="7" t="s">
        <v>1939</v>
      </c>
      <c r="O2408" s="7" t="s">
        <v>1939</v>
      </c>
    </row>
    <row r="2409" spans="1:15">
      <c r="A2409" s="3" t="s">
        <v>15</v>
      </c>
      <c r="B2409" s="3" t="str">
        <f>"FES1162742477"</f>
        <v>FES1162742477</v>
      </c>
      <c r="C2409" s="3" t="s">
        <v>1666</v>
      </c>
      <c r="D2409" s="3">
        <v>1</v>
      </c>
      <c r="E2409" s="3" t="str">
        <f>"2170733988"</f>
        <v>2170733988</v>
      </c>
      <c r="F2409" s="3" t="s">
        <v>17</v>
      </c>
      <c r="G2409" s="3" t="s">
        <v>18</v>
      </c>
      <c r="H2409" s="3" t="s">
        <v>70</v>
      </c>
      <c r="I2409" s="3" t="s">
        <v>71</v>
      </c>
      <c r="J2409" s="3" t="s">
        <v>248</v>
      </c>
      <c r="K2409" s="3" t="s">
        <v>1845</v>
      </c>
      <c r="L2409" s="4">
        <v>0.39305555555555555</v>
      </c>
      <c r="M2409" s="3" t="s">
        <v>1208</v>
      </c>
      <c r="N2409" s="3" t="s">
        <v>24</v>
      </c>
      <c r="O2409" s="3" t="s">
        <v>25</v>
      </c>
    </row>
    <row r="2410" spans="1:15">
      <c r="A2410" s="3" t="s">
        <v>15</v>
      </c>
      <c r="B2410" s="3" t="str">
        <f>"FES1162742511"</f>
        <v>FES1162742511</v>
      </c>
      <c r="C2410" s="3" t="s">
        <v>1666</v>
      </c>
      <c r="D2410" s="3">
        <v>1</v>
      </c>
      <c r="E2410" s="3" t="str">
        <f>"2170734026"</f>
        <v>2170734026</v>
      </c>
      <c r="F2410" s="3" t="s">
        <v>17</v>
      </c>
      <c r="G2410" s="3" t="s">
        <v>18</v>
      </c>
      <c r="H2410" s="3" t="s">
        <v>19</v>
      </c>
      <c r="I2410" s="3" t="s">
        <v>51</v>
      </c>
      <c r="J2410" s="3" t="s">
        <v>1399</v>
      </c>
      <c r="K2410" s="3" t="s">
        <v>1845</v>
      </c>
      <c r="L2410" s="4">
        <v>0.54513888888888895</v>
      </c>
      <c r="M2410" s="3" t="s">
        <v>1400</v>
      </c>
      <c r="N2410" s="3" t="s">
        <v>24</v>
      </c>
      <c r="O2410" s="3" t="s">
        <v>25</v>
      </c>
    </row>
    <row r="2411" spans="1:15">
      <c r="A2411" s="3" t="s">
        <v>15</v>
      </c>
      <c r="B2411" s="3" t="str">
        <f>"FES1162742476"</f>
        <v>FES1162742476</v>
      </c>
      <c r="C2411" s="3" t="s">
        <v>1666</v>
      </c>
      <c r="D2411" s="3">
        <v>1</v>
      </c>
      <c r="E2411" s="3" t="str">
        <f>"2170733986"</f>
        <v>2170733986</v>
      </c>
      <c r="F2411" s="3" t="s">
        <v>17</v>
      </c>
      <c r="G2411" s="3" t="s">
        <v>18</v>
      </c>
      <c r="H2411" s="3" t="s">
        <v>19</v>
      </c>
      <c r="I2411" s="3" t="s">
        <v>20</v>
      </c>
      <c r="J2411" s="3" t="s">
        <v>1940</v>
      </c>
      <c r="K2411" s="3" t="s">
        <v>1845</v>
      </c>
      <c r="L2411" s="4">
        <v>0.39166666666666666</v>
      </c>
      <c r="M2411" s="3" t="s">
        <v>705</v>
      </c>
      <c r="N2411" s="3" t="s">
        <v>24</v>
      </c>
      <c r="O2411" s="3" t="s">
        <v>25</v>
      </c>
    </row>
    <row r="2412" spans="1:15">
      <c r="A2412" s="3" t="s">
        <v>15</v>
      </c>
      <c r="B2412" s="3" t="str">
        <f>"FES1162742445"</f>
        <v>FES1162742445</v>
      </c>
      <c r="C2412" s="3" t="s">
        <v>1666</v>
      </c>
      <c r="D2412" s="3">
        <v>1</v>
      </c>
      <c r="E2412" s="3" t="str">
        <f>"2170733146"</f>
        <v>2170733146</v>
      </c>
      <c r="F2412" s="3" t="s">
        <v>17</v>
      </c>
      <c r="G2412" s="3" t="s">
        <v>18</v>
      </c>
      <c r="H2412" s="3" t="s">
        <v>70</v>
      </c>
      <c r="I2412" s="3" t="s">
        <v>71</v>
      </c>
      <c r="J2412" s="3" t="s">
        <v>422</v>
      </c>
      <c r="K2412" s="3" t="s">
        <v>1845</v>
      </c>
      <c r="L2412" s="4">
        <v>0.375</v>
      </c>
      <c r="M2412" s="3" t="s">
        <v>423</v>
      </c>
      <c r="N2412" s="3" t="s">
        <v>24</v>
      </c>
      <c r="O2412" s="3" t="s">
        <v>25</v>
      </c>
    </row>
    <row r="2413" spans="1:15">
      <c r="A2413" s="3" t="s">
        <v>15</v>
      </c>
      <c r="B2413" s="3" t="str">
        <f>"FES1162742514"</f>
        <v>FES1162742514</v>
      </c>
      <c r="C2413" s="3" t="s">
        <v>1666</v>
      </c>
      <c r="D2413" s="3">
        <v>1</v>
      </c>
      <c r="E2413" s="3" t="str">
        <f>"21707338888"</f>
        <v>21707338888</v>
      </c>
      <c r="F2413" s="3" t="s">
        <v>17</v>
      </c>
      <c r="G2413" s="3" t="s">
        <v>18</v>
      </c>
      <c r="H2413" s="3" t="s">
        <v>18</v>
      </c>
      <c r="I2413" s="3" t="s">
        <v>33</v>
      </c>
      <c r="J2413" s="3" t="s">
        <v>543</v>
      </c>
      <c r="K2413" s="3" t="s">
        <v>1845</v>
      </c>
      <c r="L2413" s="4">
        <v>0.4375</v>
      </c>
      <c r="M2413" s="3" t="s">
        <v>1876</v>
      </c>
      <c r="N2413" s="3" t="s">
        <v>24</v>
      </c>
      <c r="O2413" s="3" t="s">
        <v>25</v>
      </c>
    </row>
    <row r="2414" spans="1:15">
      <c r="A2414" s="3" t="s">
        <v>15</v>
      </c>
      <c r="B2414" s="3" t="str">
        <f>"FES1162742428"</f>
        <v>FES1162742428</v>
      </c>
      <c r="C2414" s="3" t="s">
        <v>1666</v>
      </c>
      <c r="D2414" s="3">
        <v>1</v>
      </c>
      <c r="E2414" s="3" t="str">
        <f>"2170731818"</f>
        <v>2170731818</v>
      </c>
      <c r="F2414" s="3" t="s">
        <v>17</v>
      </c>
      <c r="G2414" s="3" t="s">
        <v>18</v>
      </c>
      <c r="H2414" s="3" t="s">
        <v>18</v>
      </c>
      <c r="I2414" s="3" t="s">
        <v>33</v>
      </c>
      <c r="J2414" s="3" t="s">
        <v>284</v>
      </c>
      <c r="K2414" s="3" t="s">
        <v>1845</v>
      </c>
      <c r="L2414" s="4">
        <v>0.33333333333333331</v>
      </c>
      <c r="M2414" s="3" t="s">
        <v>1941</v>
      </c>
      <c r="N2414" s="3" t="s">
        <v>24</v>
      </c>
      <c r="O2414" s="3" t="s">
        <v>25</v>
      </c>
    </row>
    <row r="2415" spans="1:15">
      <c r="A2415" s="3" t="s">
        <v>15</v>
      </c>
      <c r="B2415" s="3" t="str">
        <f>"FES1162742486"</f>
        <v>FES1162742486</v>
      </c>
      <c r="C2415" s="3" t="s">
        <v>1666</v>
      </c>
      <c r="D2415" s="3">
        <v>2</v>
      </c>
      <c r="E2415" s="3" t="str">
        <f>"217072626"</f>
        <v>217072626</v>
      </c>
      <c r="F2415" s="3" t="s">
        <v>17</v>
      </c>
      <c r="G2415" s="3" t="s">
        <v>18</v>
      </c>
      <c r="H2415" s="3" t="s">
        <v>66</v>
      </c>
      <c r="I2415" s="3" t="s">
        <v>67</v>
      </c>
      <c r="J2415" s="3" t="s">
        <v>140</v>
      </c>
      <c r="K2415" s="3" t="s">
        <v>1845</v>
      </c>
      <c r="L2415" s="4">
        <v>0.35486111111111113</v>
      </c>
      <c r="M2415" s="3" t="s">
        <v>1942</v>
      </c>
      <c r="N2415" s="3" t="s">
        <v>24</v>
      </c>
      <c r="O2415" s="3" t="s">
        <v>25</v>
      </c>
    </row>
    <row r="2416" spans="1:15">
      <c r="A2416" s="3" t="s">
        <v>15</v>
      </c>
      <c r="B2416" s="3" t="str">
        <f>"FES1162742515"</f>
        <v>FES1162742515</v>
      </c>
      <c r="C2416" s="3" t="s">
        <v>1666</v>
      </c>
      <c r="D2416" s="3">
        <v>1</v>
      </c>
      <c r="E2416" s="3" t="str">
        <f>"2170734031"</f>
        <v>2170734031</v>
      </c>
      <c r="F2416" s="3" t="s">
        <v>17</v>
      </c>
      <c r="G2416" s="3" t="s">
        <v>18</v>
      </c>
      <c r="H2416" s="3" t="s">
        <v>100</v>
      </c>
      <c r="I2416" s="3" t="s">
        <v>101</v>
      </c>
      <c r="J2416" s="3" t="s">
        <v>1577</v>
      </c>
      <c r="K2416" s="3" t="s">
        <v>1845</v>
      </c>
      <c r="L2416" s="4">
        <v>0.37916666666666665</v>
      </c>
      <c r="M2416" s="3" t="s">
        <v>1943</v>
      </c>
      <c r="N2416" s="3" t="s">
        <v>24</v>
      </c>
      <c r="O2416" s="3" t="s">
        <v>25</v>
      </c>
    </row>
    <row r="2417" spans="1:15">
      <c r="A2417" s="3" t="s">
        <v>15</v>
      </c>
      <c r="B2417" s="3" t="str">
        <f>"FES1162742444"</f>
        <v>FES1162742444</v>
      </c>
      <c r="C2417" s="3" t="s">
        <v>1666</v>
      </c>
      <c r="D2417" s="3">
        <v>1</v>
      </c>
      <c r="E2417" s="3" t="str">
        <f>"2170730902"</f>
        <v>2170730902</v>
      </c>
      <c r="F2417" s="3" t="s">
        <v>17</v>
      </c>
      <c r="G2417" s="3" t="s">
        <v>18</v>
      </c>
      <c r="H2417" s="3" t="s">
        <v>100</v>
      </c>
      <c r="I2417" s="3" t="s">
        <v>155</v>
      </c>
      <c r="J2417" s="3" t="s">
        <v>489</v>
      </c>
      <c r="K2417" s="3" t="s">
        <v>1845</v>
      </c>
      <c r="L2417" s="4">
        <v>0.44930555555555557</v>
      </c>
      <c r="M2417" s="3" t="s">
        <v>251</v>
      </c>
      <c r="N2417" s="3" t="s">
        <v>24</v>
      </c>
      <c r="O2417" s="3" t="s">
        <v>25</v>
      </c>
    </row>
    <row r="2418" spans="1:15">
      <c r="A2418" s="3" t="s">
        <v>15</v>
      </c>
      <c r="B2418" s="3" t="str">
        <f>"FES1162742518"</f>
        <v>FES1162742518</v>
      </c>
      <c r="C2418" s="3" t="s">
        <v>1666</v>
      </c>
      <c r="D2418" s="3">
        <v>1</v>
      </c>
      <c r="E2418" s="3" t="str">
        <f>"2170734035"</f>
        <v>2170734035</v>
      </c>
      <c r="F2418" s="3" t="s">
        <v>17</v>
      </c>
      <c r="G2418" s="3" t="s">
        <v>18</v>
      </c>
      <c r="H2418" s="3" t="s">
        <v>100</v>
      </c>
      <c r="I2418" s="3" t="s">
        <v>101</v>
      </c>
      <c r="J2418" s="3" t="s">
        <v>318</v>
      </c>
      <c r="K2418" s="3" t="s">
        <v>1845</v>
      </c>
      <c r="L2418" s="4">
        <v>0.41666666666666669</v>
      </c>
      <c r="M2418" s="3" t="s">
        <v>268</v>
      </c>
      <c r="N2418" s="3" t="s">
        <v>24</v>
      </c>
      <c r="O2418" s="3" t="s">
        <v>25</v>
      </c>
    </row>
    <row r="2419" spans="1:15">
      <c r="A2419" s="3" t="s">
        <v>15</v>
      </c>
      <c r="B2419" s="3" t="str">
        <f>"FES1162742512"</f>
        <v>FES1162742512</v>
      </c>
      <c r="C2419" s="3" t="s">
        <v>1666</v>
      </c>
      <c r="D2419" s="3">
        <v>1</v>
      </c>
      <c r="E2419" s="3" t="str">
        <f>"2170734028"</f>
        <v>2170734028</v>
      </c>
      <c r="F2419" s="3" t="s">
        <v>17</v>
      </c>
      <c r="G2419" s="3" t="s">
        <v>18</v>
      </c>
      <c r="H2419" s="3" t="s">
        <v>100</v>
      </c>
      <c r="I2419" s="3" t="s">
        <v>101</v>
      </c>
      <c r="J2419" s="3" t="s">
        <v>1944</v>
      </c>
      <c r="K2419" s="3" t="s">
        <v>1845</v>
      </c>
      <c r="L2419" s="4">
        <v>0.41666666666666669</v>
      </c>
      <c r="M2419" s="3" t="s">
        <v>1945</v>
      </c>
      <c r="N2419" s="3" t="s">
        <v>24</v>
      </c>
      <c r="O2419" s="3" t="s">
        <v>25</v>
      </c>
    </row>
    <row r="2420" spans="1:15">
      <c r="A2420" s="3" t="s">
        <v>15</v>
      </c>
      <c r="B2420" s="3" t="str">
        <f>"FES1162742525"</f>
        <v>FES1162742525</v>
      </c>
      <c r="C2420" s="3" t="s">
        <v>1666</v>
      </c>
      <c r="D2420" s="3">
        <v>1</v>
      </c>
      <c r="E2420" s="3" t="str">
        <f>"2170733960"</f>
        <v>2170733960</v>
      </c>
      <c r="F2420" s="3" t="s">
        <v>17</v>
      </c>
      <c r="G2420" s="3" t="s">
        <v>18</v>
      </c>
      <c r="H2420" s="3" t="s">
        <v>46</v>
      </c>
      <c r="I2420" s="3" t="s">
        <v>47</v>
      </c>
      <c r="J2420" s="3" t="s">
        <v>48</v>
      </c>
      <c r="K2420" s="3" t="s">
        <v>1845</v>
      </c>
      <c r="L2420" s="4">
        <v>0.43402777777777773</v>
      </c>
      <c r="M2420" s="3" t="s">
        <v>1748</v>
      </c>
      <c r="N2420" s="3" t="s">
        <v>24</v>
      </c>
      <c r="O2420" s="3" t="s">
        <v>25</v>
      </c>
    </row>
    <row r="2421" spans="1:15">
      <c r="A2421" s="3" t="s">
        <v>15</v>
      </c>
      <c r="B2421" s="3" t="str">
        <f>"FES1162742437"</f>
        <v>FES1162742437</v>
      </c>
      <c r="C2421" s="3" t="s">
        <v>1666</v>
      </c>
      <c r="D2421" s="3">
        <v>1</v>
      </c>
      <c r="E2421" s="3" t="str">
        <f>"2170726041"</f>
        <v>2170726041</v>
      </c>
      <c r="F2421" s="3" t="s">
        <v>17</v>
      </c>
      <c r="G2421" s="3" t="s">
        <v>18</v>
      </c>
      <c r="H2421" s="3" t="s">
        <v>18</v>
      </c>
      <c r="I2421" s="3" t="s">
        <v>29</v>
      </c>
      <c r="J2421" s="3" t="s">
        <v>401</v>
      </c>
      <c r="K2421" s="3" t="s">
        <v>1845</v>
      </c>
      <c r="L2421" s="4">
        <v>0.31111111111111112</v>
      </c>
      <c r="M2421" s="3" t="s">
        <v>1946</v>
      </c>
      <c r="N2421" s="3" t="s">
        <v>24</v>
      </c>
      <c r="O2421" s="3" t="s">
        <v>25</v>
      </c>
    </row>
    <row r="2422" spans="1:15">
      <c r="A2422" s="3" t="s">
        <v>15</v>
      </c>
      <c r="B2422" s="3" t="str">
        <f>"FES1162742466"</f>
        <v>FES1162742466</v>
      </c>
      <c r="C2422" s="3" t="s">
        <v>1666</v>
      </c>
      <c r="D2422" s="3">
        <v>1</v>
      </c>
      <c r="E2422" s="3" t="str">
        <f>"2170733804"</f>
        <v>2170733804</v>
      </c>
      <c r="F2422" s="3" t="s">
        <v>17</v>
      </c>
      <c r="G2422" s="3" t="s">
        <v>18</v>
      </c>
      <c r="H2422" s="3" t="s">
        <v>18</v>
      </c>
      <c r="I2422" s="3" t="s">
        <v>29</v>
      </c>
      <c r="J2422" s="3" t="s">
        <v>307</v>
      </c>
      <c r="K2422" s="3" t="s">
        <v>1845</v>
      </c>
      <c r="L2422" s="4">
        <v>0.3520833333333333</v>
      </c>
      <c r="M2422" s="3" t="s">
        <v>308</v>
      </c>
      <c r="N2422" s="3" t="s">
        <v>24</v>
      </c>
      <c r="O2422" s="3" t="s">
        <v>25</v>
      </c>
    </row>
    <row r="2423" spans="1:15">
      <c r="A2423" s="3" t="s">
        <v>15</v>
      </c>
      <c r="B2423" s="3" t="str">
        <f>"FES1162742517"</f>
        <v>FES1162742517</v>
      </c>
      <c r="C2423" s="3" t="s">
        <v>1666</v>
      </c>
      <c r="D2423" s="3">
        <v>1</v>
      </c>
      <c r="E2423" s="3" t="str">
        <f>"2170734034"</f>
        <v>2170734034</v>
      </c>
      <c r="F2423" s="3" t="s">
        <v>17</v>
      </c>
      <c r="G2423" s="3" t="s">
        <v>18</v>
      </c>
      <c r="H2423" s="3" t="s">
        <v>18</v>
      </c>
      <c r="I2423" s="3" t="s">
        <v>338</v>
      </c>
      <c r="J2423" s="3" t="s">
        <v>512</v>
      </c>
      <c r="K2423" s="3" t="s">
        <v>1845</v>
      </c>
      <c r="L2423" s="4">
        <v>0.37847222222222227</v>
      </c>
      <c r="M2423" s="3" t="s">
        <v>1947</v>
      </c>
      <c r="N2423" s="3" t="s">
        <v>24</v>
      </c>
      <c r="O2423" s="3" t="s">
        <v>25</v>
      </c>
    </row>
    <row r="2424" spans="1:15">
      <c r="A2424" s="3" t="s">
        <v>15</v>
      </c>
      <c r="B2424" s="3" t="str">
        <f>"FES1162742488"</f>
        <v>FES1162742488</v>
      </c>
      <c r="C2424" s="3" t="s">
        <v>1666</v>
      </c>
      <c r="D2424" s="3">
        <v>1</v>
      </c>
      <c r="E2424" s="3" t="str">
        <f>"2170734005"</f>
        <v>2170734005</v>
      </c>
      <c r="F2424" s="3" t="s">
        <v>17</v>
      </c>
      <c r="G2424" s="3" t="s">
        <v>18</v>
      </c>
      <c r="H2424" s="3" t="s">
        <v>19</v>
      </c>
      <c r="I2424" s="3" t="s">
        <v>20</v>
      </c>
      <c r="J2424" s="3" t="s">
        <v>951</v>
      </c>
      <c r="K2424" s="3" t="s">
        <v>1845</v>
      </c>
      <c r="L2424" s="4">
        <v>0.3298611111111111</v>
      </c>
      <c r="M2424" s="3" t="s">
        <v>1948</v>
      </c>
      <c r="N2424" s="3" t="s">
        <v>24</v>
      </c>
      <c r="O2424" s="3" t="s">
        <v>25</v>
      </c>
    </row>
    <row r="2425" spans="1:15">
      <c r="A2425" s="3" t="s">
        <v>15</v>
      </c>
      <c r="B2425" s="3" t="str">
        <f>"FES1162742505"</f>
        <v>FES1162742505</v>
      </c>
      <c r="C2425" s="3" t="s">
        <v>1666</v>
      </c>
      <c r="D2425" s="3">
        <v>1</v>
      </c>
      <c r="E2425" s="3" t="str">
        <f>"2170734021"</f>
        <v>2170734021</v>
      </c>
      <c r="F2425" s="3" t="s">
        <v>17</v>
      </c>
      <c r="G2425" s="3" t="s">
        <v>18</v>
      </c>
      <c r="H2425" s="3" t="s">
        <v>100</v>
      </c>
      <c r="I2425" s="3" t="s">
        <v>101</v>
      </c>
      <c r="J2425" s="3" t="s">
        <v>125</v>
      </c>
      <c r="K2425" s="3" t="s">
        <v>1845</v>
      </c>
      <c r="L2425" s="4">
        <v>0.2986111111111111</v>
      </c>
      <c r="M2425" s="3" t="s">
        <v>1209</v>
      </c>
      <c r="N2425" s="3" t="s">
        <v>24</v>
      </c>
      <c r="O2425" s="3" t="s">
        <v>25</v>
      </c>
    </row>
    <row r="2426" spans="1:15">
      <c r="A2426" s="3" t="s">
        <v>15</v>
      </c>
      <c r="B2426" s="3" t="str">
        <f>"FES1162742508"</f>
        <v>FES1162742508</v>
      </c>
      <c r="C2426" s="3" t="s">
        <v>1666</v>
      </c>
      <c r="D2426" s="3">
        <v>1</v>
      </c>
      <c r="E2426" s="3" t="str">
        <f>"2170734023"</f>
        <v>2170734023</v>
      </c>
      <c r="F2426" s="3" t="s">
        <v>17</v>
      </c>
      <c r="G2426" s="3" t="s">
        <v>18</v>
      </c>
      <c r="H2426" s="3" t="s">
        <v>18</v>
      </c>
      <c r="I2426" s="3" t="s">
        <v>33</v>
      </c>
      <c r="J2426" s="3" t="s">
        <v>34</v>
      </c>
      <c r="K2426" s="3" t="s">
        <v>1845</v>
      </c>
      <c r="L2426" s="4">
        <v>0.35347222222222219</v>
      </c>
      <c r="M2426" s="3" t="s">
        <v>1672</v>
      </c>
      <c r="N2426" s="3" t="s">
        <v>24</v>
      </c>
      <c r="O2426" s="3" t="s">
        <v>25</v>
      </c>
    </row>
    <row r="2427" spans="1:15">
      <c r="A2427" s="3" t="s">
        <v>15</v>
      </c>
      <c r="B2427" s="3" t="str">
        <f>"FES1162742503"</f>
        <v>FES1162742503</v>
      </c>
      <c r="C2427" s="3" t="s">
        <v>1666</v>
      </c>
      <c r="D2427" s="3">
        <v>1</v>
      </c>
      <c r="E2427" s="3" t="str">
        <f>"2170732388"</f>
        <v>2170732388</v>
      </c>
      <c r="F2427" s="3" t="s">
        <v>17</v>
      </c>
      <c r="G2427" s="3" t="s">
        <v>18</v>
      </c>
      <c r="H2427" s="3" t="s">
        <v>19</v>
      </c>
      <c r="I2427" s="3" t="s">
        <v>51</v>
      </c>
      <c r="J2427" s="3" t="s">
        <v>89</v>
      </c>
      <c r="K2427" s="3" t="s">
        <v>1845</v>
      </c>
      <c r="L2427" s="4">
        <v>0.375</v>
      </c>
      <c r="M2427" s="3" t="s">
        <v>90</v>
      </c>
      <c r="N2427" s="3" t="s">
        <v>24</v>
      </c>
      <c r="O2427" s="3" t="s">
        <v>25</v>
      </c>
    </row>
    <row r="2428" spans="1:15">
      <c r="A2428" s="3" t="s">
        <v>15</v>
      </c>
      <c r="B2428" s="3" t="str">
        <f>"FES1162742496"</f>
        <v>FES1162742496</v>
      </c>
      <c r="C2428" s="3" t="s">
        <v>1666</v>
      </c>
      <c r="D2428" s="3">
        <v>1</v>
      </c>
      <c r="E2428" s="3" t="str">
        <f>"2170734011"</f>
        <v>2170734011</v>
      </c>
      <c r="F2428" s="3" t="s">
        <v>17</v>
      </c>
      <c r="G2428" s="3" t="s">
        <v>18</v>
      </c>
      <c r="H2428" s="3" t="s">
        <v>18</v>
      </c>
      <c r="I2428" s="3" t="s">
        <v>171</v>
      </c>
      <c r="J2428" s="3" t="s">
        <v>353</v>
      </c>
      <c r="K2428" s="3" t="s">
        <v>1845</v>
      </c>
      <c r="L2428" s="4">
        <v>0.28263888888888888</v>
      </c>
      <c r="M2428" s="3" t="s">
        <v>354</v>
      </c>
      <c r="N2428" s="3" t="s">
        <v>24</v>
      </c>
      <c r="O2428" s="3" t="s">
        <v>25</v>
      </c>
    </row>
    <row r="2429" spans="1:15">
      <c r="A2429" s="3" t="s">
        <v>15</v>
      </c>
      <c r="B2429" s="3" t="str">
        <f>"FES1162742478"</f>
        <v>FES1162742478</v>
      </c>
      <c r="C2429" s="3" t="s">
        <v>1666</v>
      </c>
      <c r="D2429" s="3">
        <v>1</v>
      </c>
      <c r="E2429" s="3" t="str">
        <f>"2170733989"</f>
        <v>2170733989</v>
      </c>
      <c r="F2429" s="3" t="s">
        <v>17</v>
      </c>
      <c r="G2429" s="3" t="s">
        <v>18</v>
      </c>
      <c r="H2429" s="3" t="s">
        <v>70</v>
      </c>
      <c r="I2429" s="3" t="s">
        <v>71</v>
      </c>
      <c r="J2429" s="3" t="s">
        <v>252</v>
      </c>
      <c r="K2429" s="3" t="s">
        <v>1845</v>
      </c>
      <c r="L2429" s="4">
        <v>0.3611111111111111</v>
      </c>
      <c r="M2429" s="3" t="s">
        <v>1936</v>
      </c>
      <c r="N2429" s="3" t="s">
        <v>24</v>
      </c>
      <c r="O2429" s="3" t="s">
        <v>25</v>
      </c>
    </row>
    <row r="2430" spans="1:15">
      <c r="A2430" s="3" t="s">
        <v>15</v>
      </c>
      <c r="B2430" s="3" t="str">
        <f>"FES1162742510"</f>
        <v>FES1162742510</v>
      </c>
      <c r="C2430" s="3" t="s">
        <v>1666</v>
      </c>
      <c r="D2430" s="3">
        <v>1</v>
      </c>
      <c r="E2430" s="3" t="str">
        <f>"2170734025"</f>
        <v>2170734025</v>
      </c>
      <c r="F2430" s="3" t="s">
        <v>17</v>
      </c>
      <c r="G2430" s="3" t="s">
        <v>18</v>
      </c>
      <c r="H2430" s="3" t="s">
        <v>19</v>
      </c>
      <c r="I2430" s="3" t="s">
        <v>51</v>
      </c>
      <c r="J2430" s="3" t="s">
        <v>1399</v>
      </c>
      <c r="K2430" s="3" t="s">
        <v>1845</v>
      </c>
      <c r="L2430" s="4">
        <v>0.54513888888888895</v>
      </c>
      <c r="M2430" s="3" t="s">
        <v>1400</v>
      </c>
      <c r="N2430" s="3" t="s">
        <v>24</v>
      </c>
      <c r="O2430" s="3" t="s">
        <v>25</v>
      </c>
    </row>
    <row r="2431" spans="1:15">
      <c r="A2431" s="3" t="s">
        <v>15</v>
      </c>
      <c r="B2431" s="3" t="str">
        <f>"FES1162742507"</f>
        <v>FES1162742507</v>
      </c>
      <c r="C2431" s="3" t="s">
        <v>1666</v>
      </c>
      <c r="D2431" s="3">
        <v>1</v>
      </c>
      <c r="E2431" s="3" t="str">
        <f>"2170732384"</f>
        <v>2170732384</v>
      </c>
      <c r="F2431" s="3" t="s">
        <v>17</v>
      </c>
      <c r="G2431" s="3" t="s">
        <v>18</v>
      </c>
      <c r="H2431" s="3" t="s">
        <v>19</v>
      </c>
      <c r="I2431" s="3" t="s">
        <v>51</v>
      </c>
      <c r="J2431" s="3" t="s">
        <v>89</v>
      </c>
      <c r="K2431" s="3" t="s">
        <v>1845</v>
      </c>
      <c r="L2431" s="4">
        <v>0.3972222222222222</v>
      </c>
      <c r="M2431" s="3" t="s">
        <v>90</v>
      </c>
      <c r="N2431" s="3" t="s">
        <v>24</v>
      </c>
      <c r="O2431" s="3" t="s">
        <v>25</v>
      </c>
    </row>
    <row r="2432" spans="1:15">
      <c r="A2432" s="3" t="s">
        <v>15</v>
      </c>
      <c r="B2432" s="3" t="str">
        <f>"FES1162742479"</f>
        <v>FES1162742479</v>
      </c>
      <c r="C2432" s="3" t="s">
        <v>1666</v>
      </c>
      <c r="D2432" s="3">
        <v>1</v>
      </c>
      <c r="E2432" s="3" t="str">
        <f>"2170732763"</f>
        <v>2170732763</v>
      </c>
      <c r="F2432" s="3" t="s">
        <v>17</v>
      </c>
      <c r="G2432" s="3" t="s">
        <v>18</v>
      </c>
      <c r="H2432" s="3" t="s">
        <v>19</v>
      </c>
      <c r="I2432" s="3" t="s">
        <v>20</v>
      </c>
      <c r="J2432" s="3" t="s">
        <v>1422</v>
      </c>
      <c r="K2432" s="3" t="s">
        <v>1845</v>
      </c>
      <c r="L2432" s="4">
        <v>0.33819444444444446</v>
      </c>
      <c r="M2432" s="3" t="s">
        <v>59</v>
      </c>
      <c r="N2432" s="3" t="s">
        <v>24</v>
      </c>
      <c r="O2432" s="3" t="s">
        <v>25</v>
      </c>
    </row>
    <row r="2433" spans="1:15">
      <c r="A2433" s="3" t="s">
        <v>15</v>
      </c>
      <c r="B2433" s="3" t="str">
        <f>"009939401051"</f>
        <v>009939401051</v>
      </c>
      <c r="C2433" s="3" t="s">
        <v>1666</v>
      </c>
      <c r="D2433" s="3">
        <v>1</v>
      </c>
      <c r="E2433" s="3" t="str">
        <f>""</f>
        <v/>
      </c>
      <c r="F2433" s="3" t="s">
        <v>528</v>
      </c>
      <c r="G2433" s="3" t="s">
        <v>36</v>
      </c>
      <c r="H2433" s="3" t="s">
        <v>18</v>
      </c>
      <c r="I2433" s="3" t="s">
        <v>29</v>
      </c>
      <c r="J2433" s="3" t="s">
        <v>529</v>
      </c>
      <c r="K2433" s="3" t="s">
        <v>1845</v>
      </c>
      <c r="L2433" s="4">
        <v>0.33819444444444446</v>
      </c>
      <c r="M2433" s="3" t="s">
        <v>1095</v>
      </c>
      <c r="N2433" s="3" t="s">
        <v>24</v>
      </c>
      <c r="O2433" s="3" t="s">
        <v>25</v>
      </c>
    </row>
    <row r="2434" spans="1:15">
      <c r="A2434" s="3" t="s">
        <v>15</v>
      </c>
      <c r="B2434" s="3" t="str">
        <f>"FES1162742683"</f>
        <v>FES1162742683</v>
      </c>
      <c r="C2434" s="3" t="s">
        <v>1845</v>
      </c>
      <c r="D2434" s="3">
        <v>1</v>
      </c>
      <c r="E2434" s="3" t="str">
        <f>"2170726822"</f>
        <v>2170726822</v>
      </c>
      <c r="F2434" s="3" t="s">
        <v>17</v>
      </c>
      <c r="G2434" s="3" t="s">
        <v>18</v>
      </c>
      <c r="H2434" s="3" t="s">
        <v>100</v>
      </c>
      <c r="I2434" s="3" t="s">
        <v>117</v>
      </c>
      <c r="J2434" s="3" t="s">
        <v>784</v>
      </c>
      <c r="K2434" s="3" t="s">
        <v>1949</v>
      </c>
      <c r="L2434" s="4">
        <v>0.46319444444444446</v>
      </c>
      <c r="M2434" s="3" t="s">
        <v>1950</v>
      </c>
      <c r="N2434" s="3" t="s">
        <v>24</v>
      </c>
      <c r="O2434" s="3" t="s">
        <v>25</v>
      </c>
    </row>
    <row r="2435" spans="1:15">
      <c r="A2435" s="3" t="s">
        <v>15</v>
      </c>
      <c r="B2435" s="3" t="str">
        <f>"FES1162742677"</f>
        <v>FES1162742677</v>
      </c>
      <c r="C2435" s="3" t="s">
        <v>1845</v>
      </c>
      <c r="D2435" s="3">
        <v>1</v>
      </c>
      <c r="E2435" s="3" t="str">
        <f>"2170734109"</f>
        <v>2170734109</v>
      </c>
      <c r="F2435" s="3" t="s">
        <v>17</v>
      </c>
      <c r="G2435" s="3" t="s">
        <v>18</v>
      </c>
      <c r="H2435" s="3" t="s">
        <v>19</v>
      </c>
      <c r="I2435" s="3" t="s">
        <v>277</v>
      </c>
      <c r="J2435" s="3" t="s">
        <v>278</v>
      </c>
      <c r="K2435" s="3" t="s">
        <v>1949</v>
      </c>
      <c r="L2435" s="4">
        <v>0.42083333333333334</v>
      </c>
      <c r="M2435" s="3" t="s">
        <v>279</v>
      </c>
      <c r="N2435" s="3" t="s">
        <v>24</v>
      </c>
      <c r="O2435" s="3" t="s">
        <v>25</v>
      </c>
    </row>
    <row r="2436" spans="1:15">
      <c r="A2436" s="3" t="s">
        <v>15</v>
      </c>
      <c r="B2436" s="3" t="str">
        <f>"FES1162742629"</f>
        <v>FES1162742629</v>
      </c>
      <c r="C2436" s="3" t="s">
        <v>1845</v>
      </c>
      <c r="D2436" s="3">
        <v>1</v>
      </c>
      <c r="E2436" s="3" t="str">
        <f>"2170734054"</f>
        <v>2170734054</v>
      </c>
      <c r="F2436" s="3" t="s">
        <v>17</v>
      </c>
      <c r="G2436" s="3" t="s">
        <v>18</v>
      </c>
      <c r="H2436" s="3" t="s">
        <v>36</v>
      </c>
      <c r="I2436" s="3" t="s">
        <v>174</v>
      </c>
      <c r="J2436" s="3" t="s">
        <v>451</v>
      </c>
      <c r="K2436" s="3" t="s">
        <v>1949</v>
      </c>
      <c r="L2436" s="4">
        <v>0.57638888888888895</v>
      </c>
      <c r="M2436" s="3" t="s">
        <v>1951</v>
      </c>
      <c r="N2436" s="3" t="s">
        <v>24</v>
      </c>
      <c r="O2436" s="3" t="s">
        <v>25</v>
      </c>
    </row>
    <row r="2437" spans="1:15">
      <c r="A2437" s="3" t="s">
        <v>15</v>
      </c>
      <c r="B2437" s="3" t="str">
        <f>"FES1162742675"</f>
        <v>FES1162742675</v>
      </c>
      <c r="C2437" s="3" t="s">
        <v>1845</v>
      </c>
      <c r="D2437" s="3">
        <v>1</v>
      </c>
      <c r="E2437" s="3" t="str">
        <f>"2170734059"</f>
        <v>2170734059</v>
      </c>
      <c r="F2437" s="3" t="s">
        <v>17</v>
      </c>
      <c r="G2437" s="3" t="s">
        <v>18</v>
      </c>
      <c r="H2437" s="3" t="s">
        <v>40</v>
      </c>
      <c r="I2437" s="3" t="s">
        <v>41</v>
      </c>
      <c r="J2437" s="3" t="s">
        <v>1952</v>
      </c>
      <c r="K2437" s="3" t="s">
        <v>1949</v>
      </c>
      <c r="L2437" s="4">
        <v>0.57638888888888895</v>
      </c>
      <c r="M2437" s="3" t="s">
        <v>1953</v>
      </c>
      <c r="N2437" s="3" t="s">
        <v>24</v>
      </c>
      <c r="O2437" s="3" t="s">
        <v>25</v>
      </c>
    </row>
    <row r="2438" spans="1:15">
      <c r="A2438" s="3" t="s">
        <v>15</v>
      </c>
      <c r="B2438" s="3" t="str">
        <f>"FES1162742587"</f>
        <v>FES1162742587</v>
      </c>
      <c r="C2438" s="3" t="s">
        <v>1845</v>
      </c>
      <c r="D2438" s="3">
        <v>1</v>
      </c>
      <c r="E2438" s="3" t="str">
        <f>"2170731901"</f>
        <v>2170731901</v>
      </c>
      <c r="F2438" s="3" t="s">
        <v>17</v>
      </c>
      <c r="G2438" s="3" t="s">
        <v>18</v>
      </c>
      <c r="H2438" s="3" t="s">
        <v>36</v>
      </c>
      <c r="I2438" s="3" t="s">
        <v>37</v>
      </c>
      <c r="J2438" s="3" t="s">
        <v>505</v>
      </c>
      <c r="K2438" s="3" t="s">
        <v>1949</v>
      </c>
      <c r="L2438" s="4">
        <v>0.42638888888888887</v>
      </c>
      <c r="M2438" s="3" t="s">
        <v>878</v>
      </c>
      <c r="N2438" s="3" t="s">
        <v>24</v>
      </c>
      <c r="O2438" s="3" t="s">
        <v>25</v>
      </c>
    </row>
    <row r="2439" spans="1:15">
      <c r="A2439" s="3" t="s">
        <v>15</v>
      </c>
      <c r="B2439" s="3" t="str">
        <f>"FES1162742576"</f>
        <v>FES1162742576</v>
      </c>
      <c r="C2439" s="3" t="s">
        <v>1845</v>
      </c>
      <c r="D2439" s="3">
        <v>1</v>
      </c>
      <c r="E2439" s="3" t="str">
        <f>"2170731748"</f>
        <v>2170731748</v>
      </c>
      <c r="F2439" s="3" t="s">
        <v>17</v>
      </c>
      <c r="G2439" s="3" t="s">
        <v>18</v>
      </c>
      <c r="H2439" s="3" t="s">
        <v>36</v>
      </c>
      <c r="I2439" s="3" t="s">
        <v>37</v>
      </c>
      <c r="J2439" s="3" t="s">
        <v>585</v>
      </c>
      <c r="K2439" s="3" t="s">
        <v>1949</v>
      </c>
      <c r="L2439" s="4">
        <v>0.53472222222222221</v>
      </c>
      <c r="M2439" s="3" t="s">
        <v>862</v>
      </c>
      <c r="N2439" s="3" t="s">
        <v>24</v>
      </c>
      <c r="O2439" s="3" t="s">
        <v>25</v>
      </c>
    </row>
    <row r="2440" spans="1:15">
      <c r="A2440" s="3" t="s">
        <v>15</v>
      </c>
      <c r="B2440" s="3" t="str">
        <f>"FES1162742720"</f>
        <v>FES1162742720</v>
      </c>
      <c r="C2440" s="3" t="s">
        <v>1845</v>
      </c>
      <c r="D2440" s="3">
        <v>1</v>
      </c>
      <c r="E2440" s="3" t="str">
        <f>"2170732743"</f>
        <v>2170732743</v>
      </c>
      <c r="F2440" s="3" t="s">
        <v>17</v>
      </c>
      <c r="G2440" s="3" t="s">
        <v>18</v>
      </c>
      <c r="H2440" s="3" t="s">
        <v>19</v>
      </c>
      <c r="I2440" s="3" t="s">
        <v>20</v>
      </c>
      <c r="J2440" s="3" t="s">
        <v>395</v>
      </c>
      <c r="K2440" s="3" t="s">
        <v>1949</v>
      </c>
      <c r="L2440" s="4">
        <v>0.43333333333333335</v>
      </c>
      <c r="M2440" s="3" t="s">
        <v>1954</v>
      </c>
      <c r="N2440" s="3" t="s">
        <v>24</v>
      </c>
      <c r="O2440" s="3" t="s">
        <v>25</v>
      </c>
    </row>
    <row r="2441" spans="1:15">
      <c r="A2441" s="3" t="s">
        <v>15</v>
      </c>
      <c r="B2441" s="3" t="str">
        <f>"FES1162742778"</f>
        <v>FES1162742778</v>
      </c>
      <c r="C2441" s="3" t="s">
        <v>1845</v>
      </c>
      <c r="D2441" s="3">
        <v>1</v>
      </c>
      <c r="E2441" s="3" t="str">
        <f>"2170734165"</f>
        <v>2170734165</v>
      </c>
      <c r="F2441" s="3" t="s">
        <v>17</v>
      </c>
      <c r="G2441" s="3" t="s">
        <v>18</v>
      </c>
      <c r="H2441" s="3" t="s">
        <v>70</v>
      </c>
      <c r="I2441" s="3" t="s">
        <v>71</v>
      </c>
      <c r="J2441" s="3" t="s">
        <v>422</v>
      </c>
      <c r="K2441" s="3" t="s">
        <v>1949</v>
      </c>
      <c r="L2441" s="4">
        <v>0.37847222222222227</v>
      </c>
      <c r="M2441" s="3" t="s">
        <v>1545</v>
      </c>
      <c r="N2441" s="3" t="s">
        <v>24</v>
      </c>
      <c r="O2441" s="3" t="s">
        <v>25</v>
      </c>
    </row>
    <row r="2442" spans="1:15">
      <c r="A2442" s="3" t="s">
        <v>15</v>
      </c>
      <c r="B2442" s="3" t="str">
        <f>"FES1162742652"</f>
        <v>FES1162742652</v>
      </c>
      <c r="C2442" s="3" t="s">
        <v>1845</v>
      </c>
      <c r="D2442" s="3">
        <v>1</v>
      </c>
      <c r="E2442" s="3" t="str">
        <f>"2170734086"</f>
        <v>2170734086</v>
      </c>
      <c r="F2442" s="3" t="s">
        <v>17</v>
      </c>
      <c r="G2442" s="3" t="s">
        <v>18</v>
      </c>
      <c r="H2442" s="3" t="s">
        <v>18</v>
      </c>
      <c r="I2442" s="3" t="s">
        <v>338</v>
      </c>
      <c r="J2442" s="3" t="s">
        <v>1213</v>
      </c>
      <c r="K2442" s="3" t="s">
        <v>1949</v>
      </c>
      <c r="L2442" s="4">
        <v>0.33333333333333331</v>
      </c>
      <c r="M2442" s="3" t="s">
        <v>1214</v>
      </c>
      <c r="N2442" s="3" t="s">
        <v>24</v>
      </c>
      <c r="O2442" s="3" t="s">
        <v>25</v>
      </c>
    </row>
    <row r="2443" spans="1:15">
      <c r="A2443" s="3" t="s">
        <v>15</v>
      </c>
      <c r="B2443" s="3" t="str">
        <f>"FES1162742709"</f>
        <v>FES1162742709</v>
      </c>
      <c r="C2443" s="3" t="s">
        <v>1845</v>
      </c>
      <c r="D2443" s="3">
        <v>1</v>
      </c>
      <c r="E2443" s="3" t="str">
        <f>"2170731946"</f>
        <v>2170731946</v>
      </c>
      <c r="F2443" s="3" t="s">
        <v>17</v>
      </c>
      <c r="G2443" s="3" t="s">
        <v>18</v>
      </c>
      <c r="H2443" s="3" t="s">
        <v>18</v>
      </c>
      <c r="I2443" s="3" t="s">
        <v>341</v>
      </c>
      <c r="J2443" s="3" t="s">
        <v>923</v>
      </c>
      <c r="K2443" s="3" t="s">
        <v>1949</v>
      </c>
      <c r="L2443" s="4">
        <v>0.43055555555555558</v>
      </c>
      <c r="M2443" s="3" t="s">
        <v>1816</v>
      </c>
      <c r="N2443" s="3" t="s">
        <v>24</v>
      </c>
      <c r="O2443" s="3" t="s">
        <v>25</v>
      </c>
    </row>
    <row r="2444" spans="1:15">
      <c r="A2444" s="3" t="s">
        <v>15</v>
      </c>
      <c r="B2444" s="3" t="str">
        <f>"FES1162742718"</f>
        <v>FES1162742718</v>
      </c>
      <c r="C2444" s="3" t="s">
        <v>1845</v>
      </c>
      <c r="D2444" s="3">
        <v>1</v>
      </c>
      <c r="E2444" s="3" t="str">
        <f>"2170732417"</f>
        <v>2170732417</v>
      </c>
      <c r="F2444" s="3" t="s">
        <v>17</v>
      </c>
      <c r="G2444" s="3" t="s">
        <v>18</v>
      </c>
      <c r="H2444" s="3" t="s">
        <v>19</v>
      </c>
      <c r="I2444" s="3" t="s">
        <v>86</v>
      </c>
      <c r="J2444" s="3" t="s">
        <v>273</v>
      </c>
      <c r="K2444" s="3" t="s">
        <v>1949</v>
      </c>
      <c r="L2444" s="4">
        <v>0.5493055555555556</v>
      </c>
      <c r="M2444" s="3" t="s">
        <v>1955</v>
      </c>
      <c r="N2444" s="3" t="s">
        <v>24</v>
      </c>
      <c r="O2444" s="3" t="s">
        <v>25</v>
      </c>
    </row>
    <row r="2445" spans="1:15">
      <c r="A2445" s="3" t="s">
        <v>15</v>
      </c>
      <c r="B2445" s="3" t="str">
        <f>"FES1162742540"</f>
        <v>FES1162742540</v>
      </c>
      <c r="C2445" s="3" t="s">
        <v>1845</v>
      </c>
      <c r="D2445" s="3">
        <v>1</v>
      </c>
      <c r="E2445" s="3" t="str">
        <f>"2170733728"</f>
        <v>2170733728</v>
      </c>
      <c r="F2445" s="3" t="s">
        <v>17</v>
      </c>
      <c r="G2445" s="3" t="s">
        <v>18</v>
      </c>
      <c r="H2445" s="3" t="s">
        <v>19</v>
      </c>
      <c r="I2445" s="3" t="s">
        <v>51</v>
      </c>
      <c r="J2445" s="3" t="s">
        <v>429</v>
      </c>
      <c r="K2445" s="3" t="s">
        <v>1949</v>
      </c>
      <c r="L2445" s="4">
        <v>0.44791666666666669</v>
      </c>
      <c r="M2445" s="3" t="s">
        <v>982</v>
      </c>
      <c r="N2445" s="3" t="s">
        <v>24</v>
      </c>
      <c r="O2445" s="3" t="s">
        <v>25</v>
      </c>
    </row>
    <row r="2446" spans="1:15">
      <c r="A2446" s="3" t="s">
        <v>15</v>
      </c>
      <c r="B2446" s="3" t="str">
        <f>"FES1162742579"</f>
        <v>FES1162742579</v>
      </c>
      <c r="C2446" s="3" t="s">
        <v>1845</v>
      </c>
      <c r="D2446" s="3">
        <v>1</v>
      </c>
      <c r="E2446" s="3" t="str">
        <f>"2170731814"</f>
        <v>2170731814</v>
      </c>
      <c r="F2446" s="3" t="s">
        <v>17</v>
      </c>
      <c r="G2446" s="3" t="s">
        <v>18</v>
      </c>
      <c r="H2446" s="3" t="s">
        <v>66</v>
      </c>
      <c r="I2446" s="3" t="s">
        <v>67</v>
      </c>
      <c r="J2446" s="3" t="s">
        <v>1956</v>
      </c>
      <c r="K2446" s="3" t="s">
        <v>1949</v>
      </c>
      <c r="L2446" s="4">
        <v>0.4375</v>
      </c>
      <c r="M2446" s="3" t="s">
        <v>1957</v>
      </c>
      <c r="N2446" s="3" t="s">
        <v>24</v>
      </c>
      <c r="O2446" s="3" t="s">
        <v>25</v>
      </c>
    </row>
    <row r="2447" spans="1:15">
      <c r="A2447" s="3" t="s">
        <v>15</v>
      </c>
      <c r="B2447" s="3" t="str">
        <f>"FES1162742534"</f>
        <v>FES1162742534</v>
      </c>
      <c r="C2447" s="3" t="s">
        <v>1845</v>
      </c>
      <c r="D2447" s="3">
        <v>1</v>
      </c>
      <c r="E2447" s="3" t="str">
        <f>"2170731935"</f>
        <v>2170731935</v>
      </c>
      <c r="F2447" s="3" t="s">
        <v>17</v>
      </c>
      <c r="G2447" s="3" t="s">
        <v>18</v>
      </c>
      <c r="H2447" s="3" t="s">
        <v>36</v>
      </c>
      <c r="I2447" s="3" t="s">
        <v>37</v>
      </c>
      <c r="J2447" s="3" t="s">
        <v>505</v>
      </c>
      <c r="K2447" s="3" t="s">
        <v>1949</v>
      </c>
      <c r="L2447" s="4">
        <v>0.42638888888888887</v>
      </c>
      <c r="M2447" s="3" t="s">
        <v>878</v>
      </c>
      <c r="N2447" s="3" t="s">
        <v>24</v>
      </c>
      <c r="O2447" s="3" t="s">
        <v>25</v>
      </c>
    </row>
    <row r="2448" spans="1:15">
      <c r="A2448" s="3" t="s">
        <v>15</v>
      </c>
      <c r="B2448" s="3" t="str">
        <f>"FES1162742712"</f>
        <v>FES1162742712</v>
      </c>
      <c r="C2448" s="3" t="s">
        <v>1845</v>
      </c>
      <c r="D2448" s="3">
        <v>1</v>
      </c>
      <c r="E2448" s="3" t="str">
        <f>"2170731218"</f>
        <v>2170731218</v>
      </c>
      <c r="F2448" s="3" t="s">
        <v>17</v>
      </c>
      <c r="G2448" s="3" t="s">
        <v>18</v>
      </c>
      <c r="H2448" s="3" t="s">
        <v>18</v>
      </c>
      <c r="I2448" s="3" t="s">
        <v>168</v>
      </c>
      <c r="J2448" s="3" t="s">
        <v>1177</v>
      </c>
      <c r="K2448" s="3" t="s">
        <v>1949</v>
      </c>
      <c r="L2448" s="4">
        <v>0.41666666666666669</v>
      </c>
      <c r="M2448" s="3" t="s">
        <v>1958</v>
      </c>
      <c r="N2448" s="3" t="s">
        <v>24</v>
      </c>
      <c r="O2448" s="3" t="s">
        <v>25</v>
      </c>
    </row>
    <row r="2449" spans="1:15">
      <c r="A2449" s="3" t="s">
        <v>15</v>
      </c>
      <c r="B2449" s="3" t="str">
        <f>"FES1162742695"</f>
        <v>FES1162742695</v>
      </c>
      <c r="C2449" s="3" t="s">
        <v>1845</v>
      </c>
      <c r="D2449" s="3">
        <v>1</v>
      </c>
      <c r="E2449" s="3" t="str">
        <f>"2170731209"</f>
        <v>2170731209</v>
      </c>
      <c r="F2449" s="3" t="s">
        <v>17</v>
      </c>
      <c r="G2449" s="3" t="s">
        <v>18</v>
      </c>
      <c r="H2449" s="3" t="s">
        <v>36</v>
      </c>
      <c r="I2449" s="3" t="s">
        <v>37</v>
      </c>
      <c r="J2449" s="3" t="s">
        <v>38</v>
      </c>
      <c r="K2449" s="3" t="s">
        <v>1949</v>
      </c>
      <c r="L2449" s="4">
        <v>0.44930555555555557</v>
      </c>
      <c r="M2449" s="3" t="s">
        <v>377</v>
      </c>
      <c r="N2449" s="3" t="s">
        <v>24</v>
      </c>
      <c r="O2449" s="3" t="s">
        <v>25</v>
      </c>
    </row>
    <row r="2450" spans="1:15">
      <c r="A2450" s="3" t="s">
        <v>15</v>
      </c>
      <c r="B2450" s="3" t="str">
        <f>"FES1162742566"</f>
        <v>FES1162742566</v>
      </c>
      <c r="C2450" s="3" t="s">
        <v>1845</v>
      </c>
      <c r="D2450" s="3">
        <v>1</v>
      </c>
      <c r="E2450" s="3" t="str">
        <f>"2170731673"</f>
        <v>2170731673</v>
      </c>
      <c r="F2450" s="3" t="s">
        <v>17</v>
      </c>
      <c r="G2450" s="3" t="s">
        <v>18</v>
      </c>
      <c r="H2450" s="3" t="s">
        <v>36</v>
      </c>
      <c r="I2450" s="3" t="s">
        <v>37</v>
      </c>
      <c r="J2450" s="3" t="s">
        <v>260</v>
      </c>
      <c r="K2450" s="3" t="s">
        <v>1949</v>
      </c>
      <c r="L2450" s="4">
        <v>0.52500000000000002</v>
      </c>
      <c r="M2450" s="3" t="s">
        <v>379</v>
      </c>
      <c r="N2450" s="3" t="s">
        <v>24</v>
      </c>
      <c r="O2450" s="3" t="s">
        <v>25</v>
      </c>
    </row>
    <row r="2451" spans="1:15">
      <c r="A2451" s="3" t="s">
        <v>15</v>
      </c>
      <c r="B2451" s="3" t="str">
        <f>"FES1162742752"</f>
        <v>FES1162742752</v>
      </c>
      <c r="C2451" s="3" t="s">
        <v>1845</v>
      </c>
      <c r="D2451" s="3">
        <v>1</v>
      </c>
      <c r="E2451" s="3" t="str">
        <f>"2170734129"</f>
        <v>2170734129</v>
      </c>
      <c r="F2451" s="3" t="s">
        <v>17</v>
      </c>
      <c r="G2451" s="3" t="s">
        <v>18</v>
      </c>
      <c r="H2451" s="3" t="s">
        <v>36</v>
      </c>
      <c r="I2451" s="3" t="s">
        <v>174</v>
      </c>
      <c r="J2451" s="3" t="s">
        <v>451</v>
      </c>
      <c r="K2451" s="3" t="s">
        <v>1949</v>
      </c>
      <c r="L2451" s="4">
        <v>0.57638888888888895</v>
      </c>
      <c r="M2451" s="3" t="s">
        <v>1324</v>
      </c>
      <c r="N2451" s="3" t="s">
        <v>24</v>
      </c>
      <c r="O2451" s="3" t="s">
        <v>25</v>
      </c>
    </row>
    <row r="2452" spans="1:15">
      <c r="A2452" s="3" t="s">
        <v>15</v>
      </c>
      <c r="B2452" s="3" t="str">
        <f>"FES1162742756"</f>
        <v>FES1162742756</v>
      </c>
      <c r="C2452" s="3" t="s">
        <v>1845</v>
      </c>
      <c r="D2452" s="3">
        <v>1</v>
      </c>
      <c r="E2452" s="3" t="str">
        <f>"2170733081"</f>
        <v>2170733081</v>
      </c>
      <c r="F2452" s="3" t="s">
        <v>17</v>
      </c>
      <c r="G2452" s="3" t="s">
        <v>18</v>
      </c>
      <c r="H2452" s="3" t="s">
        <v>36</v>
      </c>
      <c r="I2452" s="3" t="s">
        <v>37</v>
      </c>
      <c r="J2452" s="3" t="s">
        <v>593</v>
      </c>
      <c r="K2452" s="3" t="s">
        <v>1949</v>
      </c>
      <c r="L2452" s="4">
        <v>0.56666666666666665</v>
      </c>
      <c r="M2452" s="3" t="s">
        <v>1959</v>
      </c>
      <c r="N2452" s="3" t="s">
        <v>24</v>
      </c>
      <c r="O2452" s="3" t="s">
        <v>25</v>
      </c>
    </row>
    <row r="2453" spans="1:15">
      <c r="A2453" s="3" t="s">
        <v>15</v>
      </c>
      <c r="B2453" s="3" t="str">
        <f>"080002564242"</f>
        <v>080002564242</v>
      </c>
      <c r="C2453" s="3" t="s">
        <v>1845</v>
      </c>
      <c r="D2453" s="3">
        <v>3</v>
      </c>
      <c r="E2453" s="3" t="str">
        <f>""</f>
        <v/>
      </c>
      <c r="F2453" s="3" t="s">
        <v>528</v>
      </c>
      <c r="G2453" s="3" t="s">
        <v>948</v>
      </c>
      <c r="H2453" s="3" t="s">
        <v>948</v>
      </c>
      <c r="I2453" s="3" t="s">
        <v>29</v>
      </c>
      <c r="J2453" s="3" t="s">
        <v>529</v>
      </c>
      <c r="K2453" s="3" t="s">
        <v>1949</v>
      </c>
      <c r="L2453" s="4">
        <v>0.36458333333333331</v>
      </c>
      <c r="M2453" s="3" t="s">
        <v>777</v>
      </c>
      <c r="N2453" s="3" t="s">
        <v>24</v>
      </c>
      <c r="O2453" s="3" t="s">
        <v>25</v>
      </c>
    </row>
    <row r="2454" spans="1:15">
      <c r="A2454" s="3" t="s">
        <v>15</v>
      </c>
      <c r="B2454" s="3" t="str">
        <f>"FES1162742568"</f>
        <v>FES1162742568</v>
      </c>
      <c r="C2454" s="3" t="s">
        <v>1845</v>
      </c>
      <c r="D2454" s="3">
        <v>1</v>
      </c>
      <c r="E2454" s="3" t="str">
        <f>"2170731684"</f>
        <v>2170731684</v>
      </c>
      <c r="F2454" s="3" t="s">
        <v>17</v>
      </c>
      <c r="G2454" s="3" t="s">
        <v>18</v>
      </c>
      <c r="H2454" s="3" t="s">
        <v>18</v>
      </c>
      <c r="I2454" s="3" t="s">
        <v>171</v>
      </c>
      <c r="J2454" s="3" t="s">
        <v>197</v>
      </c>
      <c r="K2454" s="3" t="s">
        <v>1949</v>
      </c>
      <c r="L2454" s="4">
        <v>0.38541666666666669</v>
      </c>
      <c r="M2454" s="3" t="s">
        <v>198</v>
      </c>
      <c r="N2454" s="3" t="s">
        <v>24</v>
      </c>
      <c r="O2454" s="3" t="s">
        <v>25</v>
      </c>
    </row>
    <row r="2455" spans="1:15">
      <c r="A2455" s="3" t="s">
        <v>15</v>
      </c>
      <c r="B2455" s="3" t="str">
        <f>"FES1162742730"</f>
        <v>FES1162742730</v>
      </c>
      <c r="C2455" s="3" t="s">
        <v>1845</v>
      </c>
      <c r="D2455" s="3">
        <v>1</v>
      </c>
      <c r="E2455" s="3" t="str">
        <f>"2170733549"</f>
        <v>2170733549</v>
      </c>
      <c r="F2455" s="3" t="s">
        <v>17</v>
      </c>
      <c r="G2455" s="3" t="s">
        <v>18</v>
      </c>
      <c r="H2455" s="3" t="s">
        <v>46</v>
      </c>
      <c r="I2455" s="3" t="s">
        <v>1073</v>
      </c>
      <c r="J2455" s="3" t="s">
        <v>1074</v>
      </c>
      <c r="K2455" s="3" t="s">
        <v>1949</v>
      </c>
      <c r="L2455" s="4">
        <v>0.38541666666666669</v>
      </c>
      <c r="M2455" s="3" t="s">
        <v>1960</v>
      </c>
      <c r="N2455" s="3" t="s">
        <v>24</v>
      </c>
      <c r="O2455" s="3" t="s">
        <v>25</v>
      </c>
    </row>
    <row r="2456" spans="1:15">
      <c r="A2456" s="3" t="s">
        <v>15</v>
      </c>
      <c r="B2456" s="3" t="str">
        <f>"FES1162742527"</f>
        <v>FES1162742527</v>
      </c>
      <c r="C2456" s="3" t="s">
        <v>1845</v>
      </c>
      <c r="D2456" s="3">
        <v>1</v>
      </c>
      <c r="E2456" s="3" t="str">
        <f>"2170734046"</f>
        <v>2170734046</v>
      </c>
      <c r="F2456" s="3" t="s">
        <v>17</v>
      </c>
      <c r="G2456" s="3" t="s">
        <v>18</v>
      </c>
      <c r="H2456" s="3" t="s">
        <v>36</v>
      </c>
      <c r="I2456" s="3" t="s">
        <v>37</v>
      </c>
      <c r="J2456" s="3" t="s">
        <v>902</v>
      </c>
      <c r="K2456" s="3" t="s">
        <v>1949</v>
      </c>
      <c r="L2456" s="4">
        <v>0.52777777777777779</v>
      </c>
      <c r="M2456" s="3" t="s">
        <v>1961</v>
      </c>
      <c r="N2456" s="3" t="s">
        <v>24</v>
      </c>
      <c r="O2456" s="3" t="s">
        <v>25</v>
      </c>
    </row>
    <row r="2457" spans="1:15">
      <c r="A2457" s="3" t="s">
        <v>15</v>
      </c>
      <c r="B2457" s="3" t="str">
        <f>"FES1162742661"</f>
        <v>FES1162742661</v>
      </c>
      <c r="C2457" s="3" t="s">
        <v>1845</v>
      </c>
      <c r="D2457" s="3">
        <v>1</v>
      </c>
      <c r="E2457" s="3" t="str">
        <f>"2170734095"</f>
        <v>2170734095</v>
      </c>
      <c r="F2457" s="3" t="s">
        <v>17</v>
      </c>
      <c r="G2457" s="3" t="s">
        <v>18</v>
      </c>
      <c r="H2457" s="3" t="s">
        <v>18</v>
      </c>
      <c r="I2457" s="3" t="s">
        <v>29</v>
      </c>
      <c r="J2457" s="3" t="s">
        <v>307</v>
      </c>
      <c r="K2457" s="3" t="s">
        <v>1949</v>
      </c>
      <c r="L2457" s="4">
        <v>0.33333333333333331</v>
      </c>
      <c r="M2457" s="3" t="s">
        <v>1962</v>
      </c>
      <c r="N2457" s="3" t="s">
        <v>24</v>
      </c>
      <c r="O2457" s="3" t="s">
        <v>25</v>
      </c>
    </row>
    <row r="2458" spans="1:15">
      <c r="A2458" s="3" t="s">
        <v>15</v>
      </c>
      <c r="B2458" s="3" t="str">
        <f>"FES1162742558"</f>
        <v>FES1162742558</v>
      </c>
      <c r="C2458" s="3" t="s">
        <v>1845</v>
      </c>
      <c r="D2458" s="3">
        <v>1</v>
      </c>
      <c r="E2458" s="3" t="str">
        <f>"2170731607"</f>
        <v>2170731607</v>
      </c>
      <c r="F2458" s="3" t="s">
        <v>17</v>
      </c>
      <c r="G2458" s="3" t="s">
        <v>18</v>
      </c>
      <c r="H2458" s="3" t="s">
        <v>100</v>
      </c>
      <c r="I2458" s="3" t="s">
        <v>117</v>
      </c>
      <c r="J2458" s="3" t="s">
        <v>784</v>
      </c>
      <c r="K2458" s="3" t="s">
        <v>1949</v>
      </c>
      <c r="L2458" s="4">
        <v>0.46319444444444446</v>
      </c>
      <c r="M2458" s="3" t="s">
        <v>1950</v>
      </c>
      <c r="N2458" s="3" t="s">
        <v>24</v>
      </c>
      <c r="O2458" s="3" t="s">
        <v>25</v>
      </c>
    </row>
    <row r="2459" spans="1:15">
      <c r="A2459" s="3" t="s">
        <v>15</v>
      </c>
      <c r="B2459" s="3" t="str">
        <f>"FES1162742524"</f>
        <v>FES1162742524</v>
      </c>
      <c r="C2459" s="3" t="s">
        <v>1845</v>
      </c>
      <c r="D2459" s="3">
        <v>1</v>
      </c>
      <c r="E2459" s="3" t="str">
        <f>"2170734041"</f>
        <v>2170734041</v>
      </c>
      <c r="F2459" s="3" t="s">
        <v>17</v>
      </c>
      <c r="G2459" s="3" t="s">
        <v>18</v>
      </c>
      <c r="H2459" s="3" t="s">
        <v>100</v>
      </c>
      <c r="I2459" s="3" t="s">
        <v>155</v>
      </c>
      <c r="J2459" s="3" t="s">
        <v>544</v>
      </c>
      <c r="K2459" s="3" t="s">
        <v>1949</v>
      </c>
      <c r="L2459" s="4">
        <v>0.41666666666666669</v>
      </c>
      <c r="M2459" s="3" t="s">
        <v>1963</v>
      </c>
      <c r="N2459" s="3" t="s">
        <v>24</v>
      </c>
      <c r="O2459" s="3" t="s">
        <v>25</v>
      </c>
    </row>
    <row r="2460" spans="1:15">
      <c r="A2460" s="3" t="s">
        <v>15</v>
      </c>
      <c r="B2460" s="3" t="str">
        <f>"FES1162742521"</f>
        <v>FES1162742521</v>
      </c>
      <c r="C2460" s="3" t="s">
        <v>1845</v>
      </c>
      <c r="D2460" s="3">
        <v>1</v>
      </c>
      <c r="E2460" s="3" t="str">
        <f>"2170734037"</f>
        <v>2170734037</v>
      </c>
      <c r="F2460" s="3" t="s">
        <v>17</v>
      </c>
      <c r="G2460" s="3" t="s">
        <v>18</v>
      </c>
      <c r="H2460" s="3" t="s">
        <v>100</v>
      </c>
      <c r="I2460" s="3" t="s">
        <v>117</v>
      </c>
      <c r="J2460" s="3" t="s">
        <v>335</v>
      </c>
      <c r="K2460" s="3" t="s">
        <v>1949</v>
      </c>
      <c r="L2460" s="4">
        <v>0.45208333333333334</v>
      </c>
      <c r="M2460" s="3" t="s">
        <v>336</v>
      </c>
      <c r="N2460" s="3" t="s">
        <v>24</v>
      </c>
      <c r="O2460" s="3" t="s">
        <v>25</v>
      </c>
    </row>
    <row r="2461" spans="1:15">
      <c r="A2461" s="3" t="s">
        <v>15</v>
      </c>
      <c r="B2461" s="3" t="str">
        <f>"FES1162742523"</f>
        <v>FES1162742523</v>
      </c>
      <c r="C2461" s="3" t="s">
        <v>1845</v>
      </c>
      <c r="D2461" s="3">
        <v>1</v>
      </c>
      <c r="E2461" s="3" t="str">
        <f>"2170734040"</f>
        <v>2170734040</v>
      </c>
      <c r="F2461" s="3" t="s">
        <v>17</v>
      </c>
      <c r="G2461" s="3" t="s">
        <v>18</v>
      </c>
      <c r="H2461" s="3" t="s">
        <v>100</v>
      </c>
      <c r="I2461" s="3" t="s">
        <v>101</v>
      </c>
      <c r="J2461" s="3" t="s">
        <v>137</v>
      </c>
      <c r="K2461" s="3" t="s">
        <v>1949</v>
      </c>
      <c r="L2461" s="4">
        <v>0.4368055555555555</v>
      </c>
      <c r="M2461" s="3" t="s">
        <v>1964</v>
      </c>
      <c r="N2461" s="3" t="s">
        <v>24</v>
      </c>
      <c r="O2461" s="3" t="s">
        <v>25</v>
      </c>
    </row>
    <row r="2462" spans="1:15">
      <c r="A2462" s="3" t="s">
        <v>15</v>
      </c>
      <c r="B2462" s="3" t="str">
        <f>"FES1162742522"</f>
        <v>FES1162742522</v>
      </c>
      <c r="C2462" s="3" t="s">
        <v>1845</v>
      </c>
      <c r="D2462" s="3">
        <v>1</v>
      </c>
      <c r="E2462" s="3" t="str">
        <f>"2170734038"</f>
        <v>2170734038</v>
      </c>
      <c r="F2462" s="3" t="s">
        <v>17</v>
      </c>
      <c r="G2462" s="3" t="s">
        <v>18</v>
      </c>
      <c r="H2462" s="3" t="s">
        <v>537</v>
      </c>
      <c r="I2462" s="3" t="s">
        <v>538</v>
      </c>
      <c r="J2462" s="3" t="s">
        <v>1106</v>
      </c>
      <c r="K2462" s="3" t="s">
        <v>1949</v>
      </c>
      <c r="L2462" s="4">
        <v>0.45833333333333331</v>
      </c>
      <c r="M2462" s="3" t="s">
        <v>1107</v>
      </c>
      <c r="N2462" s="3" t="s">
        <v>24</v>
      </c>
      <c r="O2462" s="3" t="s">
        <v>25</v>
      </c>
    </row>
    <row r="2463" spans="1:15">
      <c r="A2463" s="3" t="s">
        <v>15</v>
      </c>
      <c r="B2463" s="3" t="str">
        <f>"FES1162742732"</f>
        <v>FES1162742732</v>
      </c>
      <c r="C2463" s="3" t="s">
        <v>1845</v>
      </c>
      <c r="D2463" s="3">
        <v>1</v>
      </c>
      <c r="E2463" s="3" t="str">
        <f>"2170733701"</f>
        <v>2170733701</v>
      </c>
      <c r="F2463" s="3" t="s">
        <v>17</v>
      </c>
      <c r="G2463" s="3" t="s">
        <v>18</v>
      </c>
      <c r="H2463" s="3" t="s">
        <v>36</v>
      </c>
      <c r="I2463" s="3" t="s">
        <v>37</v>
      </c>
      <c r="J2463" s="3" t="s">
        <v>902</v>
      </c>
      <c r="K2463" s="3" t="s">
        <v>1949</v>
      </c>
      <c r="L2463" s="4">
        <v>0.52777777777777779</v>
      </c>
      <c r="M2463" s="3" t="s">
        <v>1961</v>
      </c>
      <c r="N2463" s="3" t="s">
        <v>24</v>
      </c>
      <c r="O2463" s="3" t="s">
        <v>25</v>
      </c>
    </row>
    <row r="2464" spans="1:15">
      <c r="A2464" s="3" t="s">
        <v>15</v>
      </c>
      <c r="B2464" s="3" t="str">
        <f>"FES1162742739"</f>
        <v>FES1162742739</v>
      </c>
      <c r="C2464" s="3" t="s">
        <v>1845</v>
      </c>
      <c r="D2464" s="3">
        <v>1</v>
      </c>
      <c r="E2464" s="3" t="str">
        <f>"2170734032"</f>
        <v>2170734032</v>
      </c>
      <c r="F2464" s="3" t="s">
        <v>17</v>
      </c>
      <c r="G2464" s="3" t="s">
        <v>18</v>
      </c>
      <c r="H2464" s="3" t="s">
        <v>18</v>
      </c>
      <c r="I2464" s="3" t="s">
        <v>1205</v>
      </c>
      <c r="J2464" s="3" t="s">
        <v>1206</v>
      </c>
      <c r="K2464" s="3" t="s">
        <v>1949</v>
      </c>
      <c r="L2464" s="4">
        <v>0.33333333333333331</v>
      </c>
      <c r="M2464" s="3" t="s">
        <v>182</v>
      </c>
      <c r="N2464" s="3" t="s">
        <v>24</v>
      </c>
      <c r="O2464" s="3" t="s">
        <v>25</v>
      </c>
    </row>
    <row r="2465" spans="1:15">
      <c r="A2465" s="3" t="s">
        <v>15</v>
      </c>
      <c r="B2465" s="3" t="str">
        <f>"FES1162742591"</f>
        <v>FES1162742591</v>
      </c>
      <c r="C2465" s="3" t="s">
        <v>1845</v>
      </c>
      <c r="D2465" s="3">
        <v>1</v>
      </c>
      <c r="E2465" s="3" t="str">
        <f>"2170731971"</f>
        <v>2170731971</v>
      </c>
      <c r="F2465" s="3" t="s">
        <v>17</v>
      </c>
      <c r="G2465" s="3" t="s">
        <v>18</v>
      </c>
      <c r="H2465" s="3" t="s">
        <v>100</v>
      </c>
      <c r="I2465" s="3" t="s">
        <v>987</v>
      </c>
      <c r="J2465" s="3" t="s">
        <v>1965</v>
      </c>
      <c r="K2465" s="3" t="s">
        <v>1966</v>
      </c>
      <c r="L2465" s="4">
        <v>0.34791666666666665</v>
      </c>
      <c r="M2465" s="3" t="s">
        <v>1967</v>
      </c>
      <c r="N2465" s="3" t="s">
        <v>24</v>
      </c>
      <c r="O2465" s="3" t="s">
        <v>25</v>
      </c>
    </row>
    <row r="2466" spans="1:15">
      <c r="A2466" s="3" t="s">
        <v>15</v>
      </c>
      <c r="B2466" s="3" t="str">
        <f>"FES1162742610"</f>
        <v>FES1162742610</v>
      </c>
      <c r="C2466" s="3" t="s">
        <v>1845</v>
      </c>
      <c r="D2466" s="3">
        <v>1</v>
      </c>
      <c r="E2466" s="3" t="str">
        <f>"2170732212"</f>
        <v>2170732212</v>
      </c>
      <c r="F2466" s="3" t="s">
        <v>17</v>
      </c>
      <c r="G2466" s="3" t="s">
        <v>18</v>
      </c>
      <c r="H2466" s="3" t="s">
        <v>100</v>
      </c>
      <c r="I2466" s="3" t="s">
        <v>101</v>
      </c>
      <c r="J2466" s="3" t="s">
        <v>125</v>
      </c>
      <c r="K2466" s="3" t="s">
        <v>1949</v>
      </c>
      <c r="L2466" s="4">
        <v>0.29583333333333334</v>
      </c>
      <c r="M2466" s="3" t="s">
        <v>126</v>
      </c>
      <c r="N2466" s="3" t="s">
        <v>24</v>
      </c>
      <c r="O2466" s="3" t="s">
        <v>25</v>
      </c>
    </row>
    <row r="2467" spans="1:15">
      <c r="A2467" s="3" t="s">
        <v>15</v>
      </c>
      <c r="B2467" s="3" t="str">
        <f>"FES1162742747"</f>
        <v>FES1162742747</v>
      </c>
      <c r="C2467" s="3" t="s">
        <v>1845</v>
      </c>
      <c r="D2467" s="3">
        <v>1</v>
      </c>
      <c r="E2467" s="3" t="str">
        <f>"2170734125"</f>
        <v>2170734125</v>
      </c>
      <c r="F2467" s="3" t="s">
        <v>17</v>
      </c>
      <c r="G2467" s="3" t="s">
        <v>18</v>
      </c>
      <c r="H2467" s="3" t="s">
        <v>19</v>
      </c>
      <c r="I2467" s="3" t="s">
        <v>20</v>
      </c>
      <c r="J2467" s="3" t="s">
        <v>84</v>
      </c>
      <c r="K2467" s="3" t="s">
        <v>1949</v>
      </c>
      <c r="L2467" s="4">
        <v>0.43263888888888885</v>
      </c>
      <c r="M2467" s="3" t="s">
        <v>85</v>
      </c>
      <c r="N2467" s="3" t="s">
        <v>24</v>
      </c>
      <c r="O2467" s="3" t="s">
        <v>25</v>
      </c>
    </row>
    <row r="2468" spans="1:15">
      <c r="A2468" s="3" t="s">
        <v>15</v>
      </c>
      <c r="B2468" s="3" t="str">
        <f>"FES1162742679"</f>
        <v>FES1162742679</v>
      </c>
      <c r="C2468" s="3" t="s">
        <v>1845</v>
      </c>
      <c r="D2468" s="3">
        <v>1</v>
      </c>
      <c r="E2468" s="3" t="str">
        <f>"2170734114"</f>
        <v>2170734114</v>
      </c>
      <c r="F2468" s="3" t="s">
        <v>17</v>
      </c>
      <c r="G2468" s="3" t="s">
        <v>18</v>
      </c>
      <c r="H2468" s="3" t="s">
        <v>100</v>
      </c>
      <c r="I2468" s="3" t="s">
        <v>101</v>
      </c>
      <c r="J2468" s="3" t="s">
        <v>1097</v>
      </c>
      <c r="K2468" s="3" t="s">
        <v>1949</v>
      </c>
      <c r="L2468" s="4">
        <v>0.3215277777777778</v>
      </c>
      <c r="M2468" s="3" t="s">
        <v>1669</v>
      </c>
      <c r="N2468" s="3" t="s">
        <v>24</v>
      </c>
      <c r="O2468" s="3" t="s">
        <v>25</v>
      </c>
    </row>
    <row r="2469" spans="1:15">
      <c r="A2469" s="3" t="s">
        <v>15</v>
      </c>
      <c r="B2469" s="3" t="str">
        <f>"FES1162742648"</f>
        <v>FES1162742648</v>
      </c>
      <c r="C2469" s="3" t="s">
        <v>1845</v>
      </c>
      <c r="D2469" s="3">
        <v>1</v>
      </c>
      <c r="E2469" s="3" t="str">
        <f>"2170734081"</f>
        <v>2170734081</v>
      </c>
      <c r="F2469" s="3" t="s">
        <v>17</v>
      </c>
      <c r="G2469" s="3" t="s">
        <v>18</v>
      </c>
      <c r="H2469" s="3" t="s">
        <v>19</v>
      </c>
      <c r="I2469" s="3" t="s">
        <v>20</v>
      </c>
      <c r="J2469" s="3" t="s">
        <v>56</v>
      </c>
      <c r="K2469" s="3" t="s">
        <v>1949</v>
      </c>
      <c r="L2469" s="4">
        <v>0.36319444444444443</v>
      </c>
      <c r="M2469" s="3" t="s">
        <v>57</v>
      </c>
      <c r="N2469" s="3" t="s">
        <v>24</v>
      </c>
      <c r="O2469" s="3" t="s">
        <v>25</v>
      </c>
    </row>
    <row r="2470" spans="1:15">
      <c r="A2470" s="3" t="s">
        <v>15</v>
      </c>
      <c r="B2470" s="3" t="str">
        <f>"FES1162742749"</f>
        <v>FES1162742749</v>
      </c>
      <c r="C2470" s="3" t="s">
        <v>1845</v>
      </c>
      <c r="D2470" s="3">
        <v>1</v>
      </c>
      <c r="E2470" s="3" t="str">
        <f>"2170734127"</f>
        <v>2170734127</v>
      </c>
      <c r="F2470" s="3" t="s">
        <v>17</v>
      </c>
      <c r="G2470" s="3" t="s">
        <v>18</v>
      </c>
      <c r="H2470" s="3" t="s">
        <v>70</v>
      </c>
      <c r="I2470" s="3" t="s">
        <v>71</v>
      </c>
      <c r="J2470" s="3" t="s">
        <v>422</v>
      </c>
      <c r="K2470" s="3" t="s">
        <v>1949</v>
      </c>
      <c r="L2470" s="4">
        <v>0.37847222222222227</v>
      </c>
      <c r="M2470" s="3" t="s">
        <v>1545</v>
      </c>
      <c r="N2470" s="3" t="s">
        <v>24</v>
      </c>
      <c r="O2470" s="3" t="s">
        <v>25</v>
      </c>
    </row>
    <row r="2471" spans="1:15">
      <c r="A2471" s="3" t="s">
        <v>15</v>
      </c>
      <c r="B2471" s="3" t="str">
        <f>"FES1162742585"</f>
        <v>FES1162742585</v>
      </c>
      <c r="C2471" s="3" t="s">
        <v>1845</v>
      </c>
      <c r="D2471" s="3">
        <v>1</v>
      </c>
      <c r="E2471" s="3" t="str">
        <f>"2170731861"</f>
        <v>2170731861</v>
      </c>
      <c r="F2471" s="3" t="s">
        <v>17</v>
      </c>
      <c r="G2471" s="3" t="s">
        <v>18</v>
      </c>
      <c r="H2471" s="3" t="s">
        <v>100</v>
      </c>
      <c r="I2471" s="3" t="s">
        <v>101</v>
      </c>
      <c r="J2471" s="3" t="s">
        <v>1968</v>
      </c>
      <c r="K2471" s="3" t="s">
        <v>1949</v>
      </c>
      <c r="L2471" s="4">
        <v>0.30277777777777776</v>
      </c>
      <c r="M2471" s="3" t="s">
        <v>1969</v>
      </c>
      <c r="N2471" s="3" t="s">
        <v>24</v>
      </c>
      <c r="O2471" s="3" t="s">
        <v>25</v>
      </c>
    </row>
    <row r="2472" spans="1:15">
      <c r="A2472" s="3" t="s">
        <v>15</v>
      </c>
      <c r="B2472" s="3" t="str">
        <f>"FES1162742742"</f>
        <v>FES1162742742</v>
      </c>
      <c r="C2472" s="3" t="s">
        <v>1845</v>
      </c>
      <c r="D2472" s="3">
        <v>1</v>
      </c>
      <c r="E2472" s="3" t="str">
        <f>"2170734117"</f>
        <v>2170734117</v>
      </c>
      <c r="F2472" s="3" t="s">
        <v>17</v>
      </c>
      <c r="G2472" s="3" t="s">
        <v>18</v>
      </c>
      <c r="H2472" s="3" t="s">
        <v>46</v>
      </c>
      <c r="I2472" s="3" t="s">
        <v>47</v>
      </c>
      <c r="J2472" s="3" t="s">
        <v>48</v>
      </c>
      <c r="K2472" s="3" t="s">
        <v>1949</v>
      </c>
      <c r="L2472" s="4">
        <v>0.75</v>
      </c>
      <c r="M2472" s="3" t="s">
        <v>1970</v>
      </c>
      <c r="N2472" s="3" t="s">
        <v>24</v>
      </c>
      <c r="O2472" s="3" t="s">
        <v>25</v>
      </c>
    </row>
    <row r="2473" spans="1:15">
      <c r="A2473" s="3" t="s">
        <v>15</v>
      </c>
      <c r="B2473" s="3" t="str">
        <f>"FES1162742552"</f>
        <v>FES1162742552</v>
      </c>
      <c r="C2473" s="3" t="s">
        <v>1845</v>
      </c>
      <c r="D2473" s="3">
        <v>1</v>
      </c>
      <c r="E2473" s="3" t="str">
        <f>"2170730726"</f>
        <v>2170730726</v>
      </c>
      <c r="F2473" s="3" t="s">
        <v>17</v>
      </c>
      <c r="G2473" s="3" t="s">
        <v>18</v>
      </c>
      <c r="H2473" s="3" t="s">
        <v>66</v>
      </c>
      <c r="I2473" s="3" t="s">
        <v>177</v>
      </c>
      <c r="J2473" s="3" t="s">
        <v>505</v>
      </c>
      <c r="K2473" s="3" t="s">
        <v>1949</v>
      </c>
      <c r="L2473" s="4">
        <v>0.51041666666666663</v>
      </c>
      <c r="M2473" s="3" t="s">
        <v>1971</v>
      </c>
      <c r="N2473" s="3" t="s">
        <v>24</v>
      </c>
      <c r="O2473" s="3" t="s">
        <v>25</v>
      </c>
    </row>
    <row r="2474" spans="1:15">
      <c r="A2474" s="3" t="s">
        <v>15</v>
      </c>
      <c r="B2474" s="3" t="str">
        <f>"FES1162742630"</f>
        <v>FES1162742630</v>
      </c>
      <c r="C2474" s="3" t="s">
        <v>1845</v>
      </c>
      <c r="D2474" s="3">
        <v>1</v>
      </c>
      <c r="E2474" s="3" t="str">
        <f>"2170734055"</f>
        <v>2170734055</v>
      </c>
      <c r="F2474" s="3" t="s">
        <v>17</v>
      </c>
      <c r="G2474" s="3" t="s">
        <v>18</v>
      </c>
      <c r="H2474" s="3" t="s">
        <v>100</v>
      </c>
      <c r="I2474" s="3" t="s">
        <v>262</v>
      </c>
      <c r="J2474" s="3" t="s">
        <v>409</v>
      </c>
      <c r="K2474" s="3" t="s">
        <v>1949</v>
      </c>
      <c r="L2474" s="4">
        <v>0.51041666666666663</v>
      </c>
      <c r="M2474" s="3" t="s">
        <v>1822</v>
      </c>
      <c r="N2474" s="3" t="s">
        <v>24</v>
      </c>
      <c r="O2474" s="3" t="s">
        <v>25</v>
      </c>
    </row>
    <row r="2475" spans="1:15">
      <c r="A2475" s="3" t="s">
        <v>15</v>
      </c>
      <c r="B2475" s="3" t="str">
        <f>"FES1162742754"</f>
        <v>FES1162742754</v>
      </c>
      <c r="C2475" s="3" t="s">
        <v>1845</v>
      </c>
      <c r="D2475" s="3">
        <v>1</v>
      </c>
      <c r="E2475" s="3" t="str">
        <f>"2170734134"</f>
        <v>2170734134</v>
      </c>
      <c r="F2475" s="3" t="s">
        <v>17</v>
      </c>
      <c r="G2475" s="3" t="s">
        <v>18</v>
      </c>
      <c r="H2475" s="3" t="s">
        <v>36</v>
      </c>
      <c r="I2475" s="3" t="s">
        <v>37</v>
      </c>
      <c r="J2475" s="3" t="s">
        <v>54</v>
      </c>
      <c r="K2475" s="3" t="s">
        <v>1949</v>
      </c>
      <c r="L2475" s="4">
        <v>0.50208333333333333</v>
      </c>
      <c r="M2475" s="3" t="s">
        <v>55</v>
      </c>
      <c r="N2475" s="3" t="s">
        <v>24</v>
      </c>
      <c r="O2475" s="3" t="s">
        <v>25</v>
      </c>
    </row>
    <row r="2476" spans="1:15">
      <c r="A2476" s="3" t="s">
        <v>15</v>
      </c>
      <c r="B2476" s="3" t="str">
        <f>"FES1162742520"</f>
        <v>FES1162742520</v>
      </c>
      <c r="C2476" s="3" t="s">
        <v>1845</v>
      </c>
      <c r="D2476" s="3">
        <v>1</v>
      </c>
      <c r="E2476" s="3" t="str">
        <f>"2170734029"</f>
        <v>2170734029</v>
      </c>
      <c r="F2476" s="3" t="s">
        <v>17</v>
      </c>
      <c r="G2476" s="3" t="s">
        <v>18</v>
      </c>
      <c r="H2476" s="3" t="s">
        <v>66</v>
      </c>
      <c r="I2476" s="3" t="s">
        <v>67</v>
      </c>
      <c r="J2476" s="3" t="s">
        <v>1972</v>
      </c>
      <c r="K2476" s="3" t="s">
        <v>1949</v>
      </c>
      <c r="L2476" s="4">
        <v>0.43263888888888885</v>
      </c>
      <c r="M2476" s="3" t="s">
        <v>1973</v>
      </c>
      <c r="N2476" s="3" t="s">
        <v>24</v>
      </c>
      <c r="O2476" s="3" t="s">
        <v>25</v>
      </c>
    </row>
    <row r="2477" spans="1:15">
      <c r="A2477" s="3" t="s">
        <v>15</v>
      </c>
      <c r="B2477" s="3" t="str">
        <f>"FES1162742687"</f>
        <v>FES1162742687</v>
      </c>
      <c r="C2477" s="3" t="s">
        <v>1845</v>
      </c>
      <c r="D2477" s="3">
        <v>1</v>
      </c>
      <c r="E2477" s="3" t="str">
        <f>"2170732691"</f>
        <v>2170732691</v>
      </c>
      <c r="F2477" s="3" t="s">
        <v>17</v>
      </c>
      <c r="G2477" s="3" t="s">
        <v>18</v>
      </c>
      <c r="H2477" s="3" t="s">
        <v>46</v>
      </c>
      <c r="I2477" s="3" t="s">
        <v>47</v>
      </c>
      <c r="J2477" s="3" t="s">
        <v>839</v>
      </c>
      <c r="K2477" s="3" t="s">
        <v>1949</v>
      </c>
      <c r="L2477" s="4">
        <v>0.75277777777777777</v>
      </c>
      <c r="M2477" s="3" t="s">
        <v>1837</v>
      </c>
      <c r="N2477" s="3" t="s">
        <v>24</v>
      </c>
      <c r="O2477" s="3" t="s">
        <v>25</v>
      </c>
    </row>
    <row r="2478" spans="1:15">
      <c r="A2478" s="3" t="s">
        <v>15</v>
      </c>
      <c r="B2478" s="3" t="str">
        <f>"FES1162742537"</f>
        <v>FES1162742537</v>
      </c>
      <c r="C2478" s="3" t="s">
        <v>1845</v>
      </c>
      <c r="D2478" s="3">
        <v>1</v>
      </c>
      <c r="E2478" s="3" t="str">
        <f>"2170732058"</f>
        <v>2170732058</v>
      </c>
      <c r="F2478" s="3" t="s">
        <v>17</v>
      </c>
      <c r="G2478" s="3" t="s">
        <v>18</v>
      </c>
      <c r="H2478" s="3" t="s">
        <v>100</v>
      </c>
      <c r="I2478" s="3" t="s">
        <v>262</v>
      </c>
      <c r="J2478" s="3" t="s">
        <v>263</v>
      </c>
      <c r="K2478" s="3" t="s">
        <v>1966</v>
      </c>
      <c r="L2478" s="4">
        <v>0.38819444444444445</v>
      </c>
      <c r="M2478" s="3" t="s">
        <v>264</v>
      </c>
      <c r="N2478" s="3" t="s">
        <v>24</v>
      </c>
      <c r="O2478" s="3" t="s">
        <v>25</v>
      </c>
    </row>
    <row r="2479" spans="1:15">
      <c r="A2479" s="3" t="s">
        <v>15</v>
      </c>
      <c r="B2479" s="3" t="str">
        <f>"FES1162742555"</f>
        <v>FES1162742555</v>
      </c>
      <c r="C2479" s="3" t="s">
        <v>1845</v>
      </c>
      <c r="D2479" s="3">
        <v>1</v>
      </c>
      <c r="E2479" s="3" t="str">
        <f>"2170731566"</f>
        <v>2170731566</v>
      </c>
      <c r="F2479" s="3" t="s">
        <v>17</v>
      </c>
      <c r="G2479" s="3" t="s">
        <v>18</v>
      </c>
      <c r="H2479" s="3" t="s">
        <v>100</v>
      </c>
      <c r="I2479" s="3" t="s">
        <v>117</v>
      </c>
      <c r="J2479" s="3" t="s">
        <v>118</v>
      </c>
      <c r="K2479" s="3" t="s">
        <v>1949</v>
      </c>
      <c r="L2479" s="4">
        <v>0.47222222222222227</v>
      </c>
      <c r="M2479" s="3" t="s">
        <v>119</v>
      </c>
      <c r="N2479" s="3" t="s">
        <v>24</v>
      </c>
      <c r="O2479" s="3" t="s">
        <v>25</v>
      </c>
    </row>
    <row r="2480" spans="1:15">
      <c r="A2480" s="3" t="s">
        <v>15</v>
      </c>
      <c r="B2480" s="3" t="str">
        <f>"FES1162742625"</f>
        <v>FES1162742625</v>
      </c>
      <c r="C2480" s="3" t="s">
        <v>1845</v>
      </c>
      <c r="D2480" s="3">
        <v>1</v>
      </c>
      <c r="E2480" s="3" t="str">
        <f>"2170733299"</f>
        <v>2170733299</v>
      </c>
      <c r="F2480" s="3" t="s">
        <v>17</v>
      </c>
      <c r="G2480" s="3" t="s">
        <v>18</v>
      </c>
      <c r="H2480" s="3" t="s">
        <v>100</v>
      </c>
      <c r="I2480" s="3" t="s">
        <v>262</v>
      </c>
      <c r="J2480" s="3" t="s">
        <v>263</v>
      </c>
      <c r="K2480" s="3" t="s">
        <v>1966</v>
      </c>
      <c r="L2480" s="4">
        <v>0.38819444444444445</v>
      </c>
      <c r="M2480" s="3" t="s">
        <v>264</v>
      </c>
      <c r="N2480" s="3" t="s">
        <v>24</v>
      </c>
      <c r="O2480" s="3" t="s">
        <v>25</v>
      </c>
    </row>
    <row r="2481" spans="1:15">
      <c r="A2481" s="3" t="s">
        <v>15</v>
      </c>
      <c r="B2481" s="3" t="str">
        <f>"FES1162742731"</f>
        <v>FES1162742731</v>
      </c>
      <c r="C2481" s="3" t="s">
        <v>1845</v>
      </c>
      <c r="D2481" s="3">
        <v>1</v>
      </c>
      <c r="E2481" s="3" t="str">
        <f>"2170733667"</f>
        <v>2170733667</v>
      </c>
      <c r="F2481" s="3" t="s">
        <v>17</v>
      </c>
      <c r="G2481" s="3" t="s">
        <v>18</v>
      </c>
      <c r="H2481" s="3" t="s">
        <v>100</v>
      </c>
      <c r="I2481" s="3" t="s">
        <v>987</v>
      </c>
      <c r="J2481" s="3" t="s">
        <v>1965</v>
      </c>
      <c r="K2481" s="3" t="s">
        <v>1966</v>
      </c>
      <c r="L2481" s="4">
        <v>0.34861111111111115</v>
      </c>
      <c r="M2481" s="3" t="s">
        <v>1967</v>
      </c>
      <c r="N2481" s="3" t="s">
        <v>24</v>
      </c>
      <c r="O2481" s="3" t="s">
        <v>25</v>
      </c>
    </row>
    <row r="2482" spans="1:15">
      <c r="A2482" s="3" t="s">
        <v>15</v>
      </c>
      <c r="B2482" s="3" t="str">
        <f>"FES1162742660"</f>
        <v>FES1162742660</v>
      </c>
      <c r="C2482" s="3" t="s">
        <v>1845</v>
      </c>
      <c r="D2482" s="3">
        <v>1</v>
      </c>
      <c r="E2482" s="3" t="str">
        <f>"2170734094"</f>
        <v>2170734094</v>
      </c>
      <c r="F2482" s="3" t="s">
        <v>17</v>
      </c>
      <c r="G2482" s="3" t="s">
        <v>18</v>
      </c>
      <c r="H2482" s="3" t="s">
        <v>19</v>
      </c>
      <c r="I2482" s="3" t="s">
        <v>20</v>
      </c>
      <c r="J2482" s="3" t="s">
        <v>1829</v>
      </c>
      <c r="K2482" s="3" t="s">
        <v>1949</v>
      </c>
      <c r="L2482" s="4">
        <v>0.3923611111111111</v>
      </c>
      <c r="M2482" s="3" t="s">
        <v>1974</v>
      </c>
      <c r="N2482" s="3" t="s">
        <v>24</v>
      </c>
      <c r="O2482" s="3" t="s">
        <v>25</v>
      </c>
    </row>
    <row r="2483" spans="1:15">
      <c r="A2483" s="3" t="s">
        <v>15</v>
      </c>
      <c r="B2483" s="3" t="str">
        <f>"FES1162742570"</f>
        <v>FES1162742570</v>
      </c>
      <c r="C2483" s="3" t="s">
        <v>1845</v>
      </c>
      <c r="D2483" s="3">
        <v>1</v>
      </c>
      <c r="E2483" s="3" t="str">
        <f>"217073167"</f>
        <v>217073167</v>
      </c>
      <c r="F2483" s="3" t="s">
        <v>17</v>
      </c>
      <c r="G2483" s="3" t="s">
        <v>18</v>
      </c>
      <c r="H2483" s="3" t="s">
        <v>19</v>
      </c>
      <c r="I2483" s="3" t="s">
        <v>86</v>
      </c>
      <c r="J2483" s="3" t="s">
        <v>273</v>
      </c>
      <c r="K2483" s="3" t="s">
        <v>1949</v>
      </c>
      <c r="L2483" s="4">
        <v>0.5493055555555556</v>
      </c>
      <c r="M2483" s="3" t="s">
        <v>1975</v>
      </c>
      <c r="N2483" s="3" t="s">
        <v>24</v>
      </c>
      <c r="O2483" s="3" t="s">
        <v>25</v>
      </c>
    </row>
    <row r="2484" spans="1:15">
      <c r="A2484" s="3" t="s">
        <v>15</v>
      </c>
      <c r="B2484" s="3" t="str">
        <f>"FES1162742598"</f>
        <v>FES1162742598</v>
      </c>
      <c r="C2484" s="3" t="s">
        <v>1845</v>
      </c>
      <c r="D2484" s="3">
        <v>1</v>
      </c>
      <c r="E2484" s="3" t="str">
        <f>"2170732081"</f>
        <v>2170732081</v>
      </c>
      <c r="F2484" s="3" t="s">
        <v>17</v>
      </c>
      <c r="G2484" s="3" t="s">
        <v>18</v>
      </c>
      <c r="H2484" s="3" t="s">
        <v>19</v>
      </c>
      <c r="I2484" s="3" t="s">
        <v>236</v>
      </c>
      <c r="J2484" s="3" t="s">
        <v>257</v>
      </c>
      <c r="K2484" s="3" t="s">
        <v>1949</v>
      </c>
      <c r="L2484" s="4">
        <v>0.35069444444444442</v>
      </c>
      <c r="M2484" s="3" t="s">
        <v>819</v>
      </c>
      <c r="N2484" s="3" t="s">
        <v>24</v>
      </c>
      <c r="O2484" s="3" t="s">
        <v>25</v>
      </c>
    </row>
    <row r="2485" spans="1:15">
      <c r="A2485" s="3" t="s">
        <v>15</v>
      </c>
      <c r="B2485" s="3" t="str">
        <f>"FES1162742594"</f>
        <v>FES1162742594</v>
      </c>
      <c r="C2485" s="3" t="s">
        <v>1845</v>
      </c>
      <c r="D2485" s="3">
        <v>1</v>
      </c>
      <c r="E2485" s="3" t="str">
        <f>"2170732003"</f>
        <v>2170732003</v>
      </c>
      <c r="F2485" s="3" t="s">
        <v>17</v>
      </c>
      <c r="G2485" s="3" t="s">
        <v>18</v>
      </c>
      <c r="H2485" s="3" t="s">
        <v>70</v>
      </c>
      <c r="I2485" s="3" t="s">
        <v>71</v>
      </c>
      <c r="J2485" s="3" t="s">
        <v>72</v>
      </c>
      <c r="K2485" s="3" t="s">
        <v>1949</v>
      </c>
      <c r="L2485" s="4">
        <v>0.36458333333333331</v>
      </c>
      <c r="M2485" s="3" t="s">
        <v>73</v>
      </c>
      <c r="N2485" s="3" t="s">
        <v>24</v>
      </c>
      <c r="O2485" s="3" t="s">
        <v>25</v>
      </c>
    </row>
    <row r="2486" spans="1:15">
      <c r="A2486" s="3" t="s">
        <v>15</v>
      </c>
      <c r="B2486" s="3" t="str">
        <f>"FES1162742577"</f>
        <v>FES1162742577</v>
      </c>
      <c r="C2486" s="3" t="s">
        <v>1845</v>
      </c>
      <c r="D2486" s="3">
        <v>1</v>
      </c>
      <c r="E2486" s="3" t="str">
        <f>"2170731782"</f>
        <v>2170731782</v>
      </c>
      <c r="F2486" s="3" t="s">
        <v>17</v>
      </c>
      <c r="G2486" s="3" t="s">
        <v>18</v>
      </c>
      <c r="H2486" s="3" t="s">
        <v>19</v>
      </c>
      <c r="I2486" s="3" t="s">
        <v>51</v>
      </c>
      <c r="J2486" s="3" t="s">
        <v>64</v>
      </c>
      <c r="K2486" s="3" t="s">
        <v>1949</v>
      </c>
      <c r="L2486" s="4">
        <v>0.43472222222222223</v>
      </c>
      <c r="M2486" s="3" t="s">
        <v>65</v>
      </c>
      <c r="N2486" s="3" t="s">
        <v>24</v>
      </c>
      <c r="O2486" s="3" t="s">
        <v>25</v>
      </c>
    </row>
    <row r="2487" spans="1:15">
      <c r="A2487" s="3" t="s">
        <v>15</v>
      </c>
      <c r="B2487" s="3" t="str">
        <f>"FES1162742656"</f>
        <v>FES1162742656</v>
      </c>
      <c r="C2487" s="3" t="s">
        <v>1845</v>
      </c>
      <c r="D2487" s="3">
        <v>1</v>
      </c>
      <c r="E2487" s="3" t="str">
        <f>"2170734089"</f>
        <v>2170734089</v>
      </c>
      <c r="F2487" s="3" t="s">
        <v>17</v>
      </c>
      <c r="G2487" s="3" t="s">
        <v>18</v>
      </c>
      <c r="H2487" s="3" t="s">
        <v>19</v>
      </c>
      <c r="I2487" s="3" t="s">
        <v>20</v>
      </c>
      <c r="J2487" s="3" t="s">
        <v>446</v>
      </c>
      <c r="K2487" s="3" t="s">
        <v>1949</v>
      </c>
      <c r="L2487" s="4">
        <v>0.41319444444444442</v>
      </c>
      <c r="M2487" s="3" t="s">
        <v>666</v>
      </c>
      <c r="N2487" s="3" t="s">
        <v>24</v>
      </c>
      <c r="O2487" s="3" t="s">
        <v>25</v>
      </c>
    </row>
    <row r="2488" spans="1:15">
      <c r="A2488" s="3" t="s">
        <v>15</v>
      </c>
      <c r="B2488" s="3" t="str">
        <f>"FES1162742627"</f>
        <v>FES1162742627</v>
      </c>
      <c r="C2488" s="3" t="s">
        <v>1845</v>
      </c>
      <c r="D2488" s="3">
        <v>1</v>
      </c>
      <c r="E2488" s="3" t="str">
        <f>"2170733850"</f>
        <v>2170733850</v>
      </c>
      <c r="F2488" s="3" t="s">
        <v>17</v>
      </c>
      <c r="G2488" s="3" t="s">
        <v>18</v>
      </c>
      <c r="H2488" s="3" t="s">
        <v>19</v>
      </c>
      <c r="I2488" s="3" t="s">
        <v>20</v>
      </c>
      <c r="J2488" s="3" t="s">
        <v>358</v>
      </c>
      <c r="K2488" s="3" t="s">
        <v>1949</v>
      </c>
      <c r="L2488" s="4">
        <v>0.38055555555555554</v>
      </c>
      <c r="M2488" s="3" t="s">
        <v>1976</v>
      </c>
      <c r="N2488" s="3" t="s">
        <v>24</v>
      </c>
      <c r="O2488" s="3" t="s">
        <v>25</v>
      </c>
    </row>
    <row r="2489" spans="1:15">
      <c r="A2489" s="3" t="s">
        <v>15</v>
      </c>
      <c r="B2489" s="3" t="str">
        <f>"FES1162742600"</f>
        <v>FES1162742600</v>
      </c>
      <c r="C2489" s="3" t="s">
        <v>1845</v>
      </c>
      <c r="D2489" s="3">
        <v>1</v>
      </c>
      <c r="E2489" s="3" t="str">
        <f>"2170732017"</f>
        <v>2170732017</v>
      </c>
      <c r="F2489" s="3" t="s">
        <v>17</v>
      </c>
      <c r="G2489" s="3" t="s">
        <v>18</v>
      </c>
      <c r="H2489" s="3" t="s">
        <v>19</v>
      </c>
      <c r="I2489" s="3" t="s">
        <v>277</v>
      </c>
      <c r="J2489" s="3" t="s">
        <v>549</v>
      </c>
      <c r="K2489" s="3" t="s">
        <v>1949</v>
      </c>
      <c r="L2489" s="4">
        <v>0.3972222222222222</v>
      </c>
      <c r="M2489" s="3" t="s">
        <v>1977</v>
      </c>
      <c r="N2489" s="3" t="s">
        <v>24</v>
      </c>
      <c r="O2489" s="3" t="s">
        <v>25</v>
      </c>
    </row>
    <row r="2490" spans="1:15">
      <c r="A2490" s="3" t="s">
        <v>15</v>
      </c>
      <c r="B2490" s="3" t="str">
        <f>"FES1162742567"</f>
        <v>FES1162742567</v>
      </c>
      <c r="C2490" s="3" t="s">
        <v>1845</v>
      </c>
      <c r="D2490" s="3">
        <v>1</v>
      </c>
      <c r="E2490" s="3" t="str">
        <f>"2170731682"</f>
        <v>2170731682</v>
      </c>
      <c r="F2490" s="3" t="s">
        <v>17</v>
      </c>
      <c r="G2490" s="3" t="s">
        <v>18</v>
      </c>
      <c r="H2490" s="3" t="s">
        <v>19</v>
      </c>
      <c r="I2490" s="3" t="s">
        <v>51</v>
      </c>
      <c r="J2490" s="3" t="s">
        <v>89</v>
      </c>
      <c r="K2490" s="3" t="s">
        <v>1949</v>
      </c>
      <c r="L2490" s="4">
        <v>0.34722222222222227</v>
      </c>
      <c r="M2490" s="3" t="s">
        <v>419</v>
      </c>
      <c r="N2490" s="3" t="s">
        <v>24</v>
      </c>
      <c r="O2490" s="3" t="s">
        <v>25</v>
      </c>
    </row>
    <row r="2491" spans="1:15">
      <c r="A2491" s="3" t="s">
        <v>15</v>
      </c>
      <c r="B2491" s="3" t="str">
        <f>"FES1162742563"</f>
        <v>FES1162742563</v>
      </c>
      <c r="C2491" s="3" t="s">
        <v>1845</v>
      </c>
      <c r="D2491" s="3">
        <v>1</v>
      </c>
      <c r="E2491" s="3" t="str">
        <f>"2170731634"</f>
        <v>2170731634</v>
      </c>
      <c r="F2491" s="3" t="s">
        <v>17</v>
      </c>
      <c r="G2491" s="3" t="s">
        <v>18</v>
      </c>
      <c r="H2491" s="3" t="s">
        <v>70</v>
      </c>
      <c r="I2491" s="3" t="s">
        <v>71</v>
      </c>
      <c r="J2491" s="3" t="s">
        <v>1417</v>
      </c>
      <c r="K2491" s="3" t="s">
        <v>1949</v>
      </c>
      <c r="L2491" s="4">
        <v>0.40208333333333335</v>
      </c>
      <c r="M2491" s="3" t="s">
        <v>126</v>
      </c>
      <c r="N2491" s="3" t="s">
        <v>24</v>
      </c>
      <c r="O2491" s="3" t="s">
        <v>25</v>
      </c>
    </row>
    <row r="2492" spans="1:15">
      <c r="A2492" s="3" t="s">
        <v>15</v>
      </c>
      <c r="B2492" s="3" t="str">
        <f>"FES1162742668"</f>
        <v>FES1162742668</v>
      </c>
      <c r="C2492" s="3" t="s">
        <v>1845</v>
      </c>
      <c r="D2492" s="3">
        <v>1</v>
      </c>
      <c r="E2492" s="3" t="str">
        <f>"2170734012"</f>
        <v>2170734012</v>
      </c>
      <c r="F2492" s="3" t="s">
        <v>17</v>
      </c>
      <c r="G2492" s="3" t="s">
        <v>18</v>
      </c>
      <c r="H2492" s="3" t="s">
        <v>19</v>
      </c>
      <c r="I2492" s="3" t="s">
        <v>20</v>
      </c>
      <c r="J2492" s="3" t="s">
        <v>420</v>
      </c>
      <c r="K2492" s="3" t="s">
        <v>1949</v>
      </c>
      <c r="L2492" s="4">
        <v>0.33333333333333331</v>
      </c>
      <c r="M2492" s="3" t="s">
        <v>788</v>
      </c>
      <c r="N2492" s="3" t="s">
        <v>24</v>
      </c>
      <c r="O2492" s="3" t="s">
        <v>25</v>
      </c>
    </row>
    <row r="2493" spans="1:15">
      <c r="A2493" s="3" t="s">
        <v>15</v>
      </c>
      <c r="B2493" s="3" t="str">
        <f>"FES1162742628"</f>
        <v>FES1162742628</v>
      </c>
      <c r="C2493" s="3" t="s">
        <v>1845</v>
      </c>
      <c r="D2493" s="3">
        <v>1</v>
      </c>
      <c r="E2493" s="3" t="str">
        <f>"2170733869"</f>
        <v>2170733869</v>
      </c>
      <c r="F2493" s="3" t="s">
        <v>17</v>
      </c>
      <c r="G2493" s="3" t="s">
        <v>18</v>
      </c>
      <c r="H2493" s="3" t="s">
        <v>70</v>
      </c>
      <c r="I2493" s="3" t="s">
        <v>71</v>
      </c>
      <c r="J2493" s="3" t="s">
        <v>392</v>
      </c>
      <c r="K2493" s="3" t="s">
        <v>1949</v>
      </c>
      <c r="L2493" s="4">
        <v>0.51041666666666663</v>
      </c>
      <c r="M2493" s="3" t="s">
        <v>885</v>
      </c>
      <c r="N2493" s="3" t="s">
        <v>24</v>
      </c>
      <c r="O2493" s="3" t="s">
        <v>25</v>
      </c>
    </row>
    <row r="2494" spans="1:15">
      <c r="A2494" s="3" t="s">
        <v>15</v>
      </c>
      <c r="B2494" s="3" t="str">
        <f>"FES1162742657"</f>
        <v>FES1162742657</v>
      </c>
      <c r="C2494" s="3" t="s">
        <v>1845</v>
      </c>
      <c r="D2494" s="3">
        <v>1</v>
      </c>
      <c r="E2494" s="3" t="str">
        <f>"2170734091"</f>
        <v>2170734091</v>
      </c>
      <c r="F2494" s="3" t="s">
        <v>17</v>
      </c>
      <c r="G2494" s="3" t="s">
        <v>18</v>
      </c>
      <c r="H2494" s="3" t="s">
        <v>19</v>
      </c>
      <c r="I2494" s="3" t="s">
        <v>20</v>
      </c>
      <c r="J2494" s="3" t="s">
        <v>446</v>
      </c>
      <c r="K2494" s="3" t="s">
        <v>1949</v>
      </c>
      <c r="L2494" s="4">
        <v>0.41319444444444442</v>
      </c>
      <c r="M2494" s="3" t="s">
        <v>666</v>
      </c>
      <c r="N2494" s="3" t="s">
        <v>24</v>
      </c>
      <c r="O2494" s="3" t="s">
        <v>25</v>
      </c>
    </row>
    <row r="2495" spans="1:15">
      <c r="A2495" s="3" t="s">
        <v>15</v>
      </c>
      <c r="B2495" s="3" t="str">
        <f>"FES1162742727"</f>
        <v>FES1162742727</v>
      </c>
      <c r="C2495" s="3" t="s">
        <v>1845</v>
      </c>
      <c r="D2495" s="3">
        <v>1</v>
      </c>
      <c r="E2495" s="3" t="str">
        <f>"2170733380"</f>
        <v>2170733380</v>
      </c>
      <c r="F2495" s="3" t="s">
        <v>17</v>
      </c>
      <c r="G2495" s="3" t="s">
        <v>18</v>
      </c>
      <c r="H2495" s="3" t="s">
        <v>18</v>
      </c>
      <c r="I2495" s="3" t="s">
        <v>341</v>
      </c>
      <c r="J2495" s="3" t="s">
        <v>923</v>
      </c>
      <c r="K2495" s="3" t="s">
        <v>1949</v>
      </c>
      <c r="L2495" s="4">
        <v>0.4375</v>
      </c>
      <c r="M2495" s="3" t="s">
        <v>1816</v>
      </c>
      <c r="N2495" s="3" t="s">
        <v>24</v>
      </c>
      <c r="O2495" s="3" t="s">
        <v>25</v>
      </c>
    </row>
    <row r="2496" spans="1:15">
      <c r="A2496" s="3" t="s">
        <v>15</v>
      </c>
      <c r="B2496" s="3" t="str">
        <f>"FES1162742542"</f>
        <v>FES1162742542</v>
      </c>
      <c r="C2496" s="3" t="s">
        <v>1845</v>
      </c>
      <c r="D2496" s="3">
        <v>1</v>
      </c>
      <c r="E2496" s="3" t="str">
        <f>"2170733864"</f>
        <v>2170733864</v>
      </c>
      <c r="F2496" s="3" t="s">
        <v>17</v>
      </c>
      <c r="G2496" s="3" t="s">
        <v>18</v>
      </c>
      <c r="H2496" s="3" t="s">
        <v>66</v>
      </c>
      <c r="I2496" s="3" t="s">
        <v>67</v>
      </c>
      <c r="J2496" s="3" t="s">
        <v>1867</v>
      </c>
      <c r="K2496" s="3" t="s">
        <v>1949</v>
      </c>
      <c r="L2496" s="4">
        <v>0.35069444444444442</v>
      </c>
      <c r="M2496" s="3" t="s">
        <v>1868</v>
      </c>
      <c r="N2496" s="3" t="s">
        <v>24</v>
      </c>
      <c r="O2496" s="3" t="s">
        <v>25</v>
      </c>
    </row>
    <row r="2497" spans="1:15">
      <c r="A2497" s="3" t="s">
        <v>15</v>
      </c>
      <c r="B2497" s="3" t="str">
        <f>"FES1162742617"</f>
        <v>FES1162742617</v>
      </c>
      <c r="C2497" s="3" t="s">
        <v>1845</v>
      </c>
      <c r="D2497" s="3">
        <v>1</v>
      </c>
      <c r="E2497" s="3" t="str">
        <f>"2170732395"</f>
        <v>2170732395</v>
      </c>
      <c r="F2497" s="3" t="s">
        <v>17</v>
      </c>
      <c r="G2497" s="3" t="s">
        <v>18</v>
      </c>
      <c r="H2497" s="3" t="s">
        <v>19</v>
      </c>
      <c r="I2497" s="3" t="s">
        <v>20</v>
      </c>
      <c r="J2497" s="3" t="s">
        <v>56</v>
      </c>
      <c r="K2497" s="3" t="s">
        <v>1949</v>
      </c>
      <c r="L2497" s="4">
        <v>0.36319444444444443</v>
      </c>
      <c r="M2497" s="3" t="s">
        <v>57</v>
      </c>
      <c r="N2497" s="3" t="s">
        <v>24</v>
      </c>
      <c r="O2497" s="3" t="s">
        <v>25</v>
      </c>
    </row>
    <row r="2498" spans="1:15">
      <c r="A2498" s="3" t="s">
        <v>15</v>
      </c>
      <c r="B2498" s="3" t="str">
        <f>"FES1162742663"</f>
        <v>FES1162742663</v>
      </c>
      <c r="C2498" s="3" t="s">
        <v>1845</v>
      </c>
      <c r="D2498" s="3">
        <v>1</v>
      </c>
      <c r="E2498" s="3" t="str">
        <f>"2170734097"</f>
        <v>2170734097</v>
      </c>
      <c r="F2498" s="3" t="s">
        <v>17</v>
      </c>
      <c r="G2498" s="3" t="s">
        <v>18</v>
      </c>
      <c r="H2498" s="3" t="s">
        <v>70</v>
      </c>
      <c r="I2498" s="3" t="s">
        <v>507</v>
      </c>
      <c r="J2498" s="3" t="s">
        <v>1978</v>
      </c>
      <c r="K2498" s="3" t="s">
        <v>1949</v>
      </c>
      <c r="L2498" s="4">
        <v>0.57638888888888895</v>
      </c>
      <c r="M2498" s="3" t="s">
        <v>1979</v>
      </c>
      <c r="N2498" s="3" t="s">
        <v>24</v>
      </c>
      <c r="O2498" s="3" t="s">
        <v>25</v>
      </c>
    </row>
    <row r="2499" spans="1:15">
      <c r="A2499" s="3" t="s">
        <v>15</v>
      </c>
      <c r="B2499" s="3" t="str">
        <f>"FES1162742539"</f>
        <v>FES1162742539</v>
      </c>
      <c r="C2499" s="3" t="s">
        <v>1845</v>
      </c>
      <c r="D2499" s="3">
        <v>1</v>
      </c>
      <c r="E2499" s="3" t="str">
        <f>"2170732143"</f>
        <v>2170732143</v>
      </c>
      <c r="F2499" s="3" t="s">
        <v>17</v>
      </c>
      <c r="G2499" s="3" t="s">
        <v>18</v>
      </c>
      <c r="H2499" s="3" t="s">
        <v>46</v>
      </c>
      <c r="I2499" s="3" t="s">
        <v>47</v>
      </c>
      <c r="J2499" s="3" t="s">
        <v>48</v>
      </c>
      <c r="K2499" s="3" t="s">
        <v>1949</v>
      </c>
      <c r="L2499" s="4">
        <v>0.57638888888888895</v>
      </c>
      <c r="M2499" s="3" t="s">
        <v>1980</v>
      </c>
      <c r="N2499" s="3" t="s">
        <v>24</v>
      </c>
      <c r="O2499" s="3" t="s">
        <v>25</v>
      </c>
    </row>
    <row r="2500" spans="1:15">
      <c r="A2500" s="3" t="s">
        <v>15</v>
      </c>
      <c r="B2500" s="3" t="str">
        <f>"FES1162742589"</f>
        <v>FES1162742589</v>
      </c>
      <c r="C2500" s="3" t="s">
        <v>1845</v>
      </c>
      <c r="D2500" s="3">
        <v>1</v>
      </c>
      <c r="E2500" s="3" t="str">
        <f>"2170731906"</f>
        <v>2170731906</v>
      </c>
      <c r="F2500" s="3" t="s">
        <v>17</v>
      </c>
      <c r="G2500" s="3" t="s">
        <v>18</v>
      </c>
      <c r="H2500" s="3" t="s">
        <v>19</v>
      </c>
      <c r="I2500" s="3" t="s">
        <v>51</v>
      </c>
      <c r="J2500" s="3" t="s">
        <v>1251</v>
      </c>
      <c r="K2500" s="3" t="s">
        <v>1949</v>
      </c>
      <c r="L2500" s="4">
        <v>0.42152777777777778</v>
      </c>
      <c r="M2500" s="3" t="s">
        <v>598</v>
      </c>
      <c r="N2500" s="3" t="s">
        <v>24</v>
      </c>
      <c r="O2500" s="3" t="s">
        <v>25</v>
      </c>
    </row>
    <row r="2501" spans="1:15">
      <c r="A2501" s="3" t="s">
        <v>15</v>
      </c>
      <c r="B2501" s="3" t="str">
        <f>"FES1162742651"</f>
        <v>FES1162742651</v>
      </c>
      <c r="C2501" s="3" t="s">
        <v>1845</v>
      </c>
      <c r="D2501" s="3">
        <v>1</v>
      </c>
      <c r="E2501" s="3" t="str">
        <f>"2170734084"</f>
        <v>2170734084</v>
      </c>
      <c r="F2501" s="3" t="s">
        <v>17</v>
      </c>
      <c r="G2501" s="3" t="s">
        <v>18</v>
      </c>
      <c r="H2501" s="3" t="s">
        <v>19</v>
      </c>
      <c r="I2501" s="3" t="s">
        <v>236</v>
      </c>
      <c r="J2501" s="3" t="s">
        <v>257</v>
      </c>
      <c r="K2501" s="3" t="s">
        <v>1949</v>
      </c>
      <c r="L2501" s="4">
        <v>0.35069444444444442</v>
      </c>
      <c r="M2501" s="3" t="s">
        <v>819</v>
      </c>
      <c r="N2501" s="3" t="s">
        <v>24</v>
      </c>
      <c r="O2501" s="3" t="s">
        <v>25</v>
      </c>
    </row>
    <row r="2502" spans="1:15">
      <c r="A2502" s="3" t="s">
        <v>15</v>
      </c>
      <c r="B2502" s="3" t="str">
        <f>"FES1162742725"</f>
        <v>FES1162742725</v>
      </c>
      <c r="C2502" s="3" t="s">
        <v>1845</v>
      </c>
      <c r="D2502" s="3">
        <v>1</v>
      </c>
      <c r="E2502" s="3" t="str">
        <f>"2170733326"</f>
        <v>2170733326</v>
      </c>
      <c r="F2502" s="3" t="s">
        <v>17</v>
      </c>
      <c r="G2502" s="3" t="s">
        <v>18</v>
      </c>
      <c r="H2502" s="3" t="s">
        <v>46</v>
      </c>
      <c r="I2502" s="3" t="s">
        <v>47</v>
      </c>
      <c r="J2502" s="3" t="s">
        <v>48</v>
      </c>
      <c r="K2502" s="3" t="s">
        <v>1949</v>
      </c>
      <c r="L2502" s="4">
        <v>0.35069444444444442</v>
      </c>
      <c r="M2502" s="3" t="s">
        <v>1980</v>
      </c>
      <c r="N2502" s="3" t="s">
        <v>24</v>
      </c>
      <c r="O2502" s="3" t="s">
        <v>25</v>
      </c>
    </row>
    <row r="2503" spans="1:15">
      <c r="A2503" s="3" t="s">
        <v>15</v>
      </c>
      <c r="B2503" s="3" t="str">
        <f>"FES1162742633"</f>
        <v>FES1162742633</v>
      </c>
      <c r="C2503" s="3" t="s">
        <v>1845</v>
      </c>
      <c r="D2503" s="3">
        <v>1</v>
      </c>
      <c r="E2503" s="3" t="str">
        <f>"2170734063"</f>
        <v>2170734063</v>
      </c>
      <c r="F2503" s="3" t="s">
        <v>17</v>
      </c>
      <c r="G2503" s="3" t="s">
        <v>18</v>
      </c>
      <c r="H2503" s="3" t="s">
        <v>46</v>
      </c>
      <c r="I2503" s="3" t="s">
        <v>47</v>
      </c>
      <c r="J2503" s="3" t="s">
        <v>497</v>
      </c>
      <c r="K2503" s="3" t="s">
        <v>1949</v>
      </c>
      <c r="L2503" s="4">
        <v>0.375</v>
      </c>
      <c r="M2503" s="3" t="s">
        <v>1981</v>
      </c>
      <c r="N2503" s="3" t="s">
        <v>24</v>
      </c>
      <c r="O2503" s="3" t="s">
        <v>25</v>
      </c>
    </row>
    <row r="2504" spans="1:15">
      <c r="A2504" s="3" t="s">
        <v>15</v>
      </c>
      <c r="B2504" s="3" t="str">
        <f>"FES1162742684"</f>
        <v>FES1162742684</v>
      </c>
      <c r="C2504" s="3" t="s">
        <v>1845</v>
      </c>
      <c r="D2504" s="3">
        <v>1</v>
      </c>
      <c r="E2504" s="3" t="str">
        <f>"21707328269"</f>
        <v>21707328269</v>
      </c>
      <c r="F2504" s="3" t="s">
        <v>17</v>
      </c>
      <c r="G2504" s="3" t="s">
        <v>18</v>
      </c>
      <c r="H2504" s="3" t="s">
        <v>66</v>
      </c>
      <c r="I2504" s="3" t="s">
        <v>67</v>
      </c>
      <c r="J2504" s="3" t="s">
        <v>1982</v>
      </c>
      <c r="K2504" s="3" t="s">
        <v>1949</v>
      </c>
      <c r="L2504" s="4">
        <v>0.38472222222222219</v>
      </c>
      <c r="M2504" s="3" t="s">
        <v>1983</v>
      </c>
      <c r="N2504" s="3" t="s">
        <v>24</v>
      </c>
      <c r="O2504" s="3" t="s">
        <v>25</v>
      </c>
    </row>
    <row r="2505" spans="1:15">
      <c r="A2505" s="7" t="s">
        <v>15</v>
      </c>
      <c r="B2505" s="7" t="str">
        <f>"FES1162742575"</f>
        <v>FES1162742575</v>
      </c>
      <c r="C2505" s="7" t="s">
        <v>1845</v>
      </c>
      <c r="D2505" s="7">
        <v>1</v>
      </c>
      <c r="E2505" s="7" t="str">
        <f>"2170731747"</f>
        <v>2170731747</v>
      </c>
      <c r="F2505" s="7" t="s">
        <v>17</v>
      </c>
      <c r="G2505" s="7" t="s">
        <v>18</v>
      </c>
      <c r="H2505" s="7" t="s">
        <v>66</v>
      </c>
      <c r="I2505" s="7" t="s">
        <v>67</v>
      </c>
      <c r="J2505" s="7" t="s">
        <v>578</v>
      </c>
      <c r="K2505" s="7" t="s">
        <v>447</v>
      </c>
      <c r="L2505" s="7"/>
      <c r="M2505" s="7" t="s">
        <v>448</v>
      </c>
      <c r="N2505" s="7" t="s">
        <v>1984</v>
      </c>
      <c r="O2505" s="7" t="s">
        <v>1984</v>
      </c>
    </row>
    <row r="2506" spans="1:15">
      <c r="A2506" s="3" t="s">
        <v>15</v>
      </c>
      <c r="B2506" s="3" t="str">
        <f>"FES1162742622"</f>
        <v>FES1162742622</v>
      </c>
      <c r="C2506" s="3" t="s">
        <v>1845</v>
      </c>
      <c r="D2506" s="3">
        <v>1</v>
      </c>
      <c r="E2506" s="3" t="str">
        <f>"2170732987"</f>
        <v>2170732987</v>
      </c>
      <c r="F2506" s="3" t="s">
        <v>17</v>
      </c>
      <c r="G2506" s="3" t="s">
        <v>18</v>
      </c>
      <c r="H2506" s="3" t="s">
        <v>18</v>
      </c>
      <c r="I2506" s="3" t="s">
        <v>29</v>
      </c>
      <c r="J2506" s="3" t="s">
        <v>679</v>
      </c>
      <c r="K2506" s="3" t="s">
        <v>1949</v>
      </c>
      <c r="L2506" s="4">
        <v>0.31944444444444448</v>
      </c>
      <c r="M2506" s="3" t="s">
        <v>1985</v>
      </c>
      <c r="N2506" s="3" t="s">
        <v>24</v>
      </c>
      <c r="O2506" s="3" t="s">
        <v>25</v>
      </c>
    </row>
    <row r="2507" spans="1:15">
      <c r="A2507" s="3" t="s">
        <v>15</v>
      </c>
      <c r="B2507" s="3" t="str">
        <f>"FES1162742538"</f>
        <v>FES1162742538</v>
      </c>
      <c r="C2507" s="3" t="s">
        <v>1845</v>
      </c>
      <c r="D2507" s="3">
        <v>1</v>
      </c>
      <c r="E2507" s="3" t="str">
        <f>"2170732067"</f>
        <v>2170732067</v>
      </c>
      <c r="F2507" s="3" t="s">
        <v>17</v>
      </c>
      <c r="G2507" s="3" t="s">
        <v>18</v>
      </c>
      <c r="H2507" s="3" t="s">
        <v>66</v>
      </c>
      <c r="I2507" s="3" t="s">
        <v>67</v>
      </c>
      <c r="J2507" s="3" t="s">
        <v>166</v>
      </c>
      <c r="K2507" s="3" t="s">
        <v>1949</v>
      </c>
      <c r="L2507" s="4">
        <v>0.3527777777777778</v>
      </c>
      <c r="M2507" s="3" t="s">
        <v>141</v>
      </c>
      <c r="N2507" s="3" t="s">
        <v>24</v>
      </c>
      <c r="O2507" s="3" t="s">
        <v>25</v>
      </c>
    </row>
    <row r="2508" spans="1:15">
      <c r="A2508" s="5" t="s">
        <v>15</v>
      </c>
      <c r="B2508" s="5" t="str">
        <f>"FES1162742549"</f>
        <v>FES1162742549</v>
      </c>
      <c r="C2508" s="5" t="s">
        <v>1845</v>
      </c>
      <c r="D2508" s="5">
        <v>1</v>
      </c>
      <c r="E2508" s="5" t="str">
        <f>"2170728607"</f>
        <v>2170728607</v>
      </c>
      <c r="F2508" s="5" t="s">
        <v>17</v>
      </c>
      <c r="G2508" s="5" t="s">
        <v>18</v>
      </c>
      <c r="H2508" s="5" t="s">
        <v>36</v>
      </c>
      <c r="I2508" s="5" t="s">
        <v>37</v>
      </c>
      <c r="J2508" s="5" t="s">
        <v>650</v>
      </c>
      <c r="K2508" s="5" t="s">
        <v>1949</v>
      </c>
      <c r="L2508" s="6">
        <v>0.4236111111111111</v>
      </c>
      <c r="M2508" s="5" t="s">
        <v>1679</v>
      </c>
      <c r="N2508" s="5" t="s">
        <v>24</v>
      </c>
      <c r="O2508" s="5" t="s">
        <v>25</v>
      </c>
    </row>
    <row r="2509" spans="1:15">
      <c r="A2509" s="5" t="s">
        <v>15</v>
      </c>
      <c r="B2509" s="5" t="str">
        <f>"FES1162742621"</f>
        <v>FES1162742621</v>
      </c>
      <c r="C2509" s="5" t="s">
        <v>1845</v>
      </c>
      <c r="D2509" s="5">
        <v>1</v>
      </c>
      <c r="E2509" s="5" t="str">
        <f>"2170732866"</f>
        <v>2170732866</v>
      </c>
      <c r="F2509" s="5" t="s">
        <v>17</v>
      </c>
      <c r="G2509" s="5" t="s">
        <v>18</v>
      </c>
      <c r="H2509" s="5" t="s">
        <v>46</v>
      </c>
      <c r="I2509" s="5" t="s">
        <v>47</v>
      </c>
      <c r="J2509" s="5" t="s">
        <v>839</v>
      </c>
      <c r="K2509" s="5" t="s">
        <v>1949</v>
      </c>
      <c r="L2509" s="6">
        <v>0.4236111111111111</v>
      </c>
      <c r="M2509" s="5" t="s">
        <v>1986</v>
      </c>
      <c r="N2509" s="5" t="s">
        <v>24</v>
      </c>
      <c r="O2509" s="5" t="s">
        <v>1987</v>
      </c>
    </row>
    <row r="2510" spans="1:15">
      <c r="A2510" s="5" t="s">
        <v>15</v>
      </c>
      <c r="B2510" s="5" t="str">
        <f>"FES1162742582"</f>
        <v>FES1162742582</v>
      </c>
      <c r="C2510" s="5" t="s">
        <v>1845</v>
      </c>
      <c r="D2510" s="5">
        <v>1</v>
      </c>
      <c r="E2510" s="5" t="str">
        <f>"21707318039"</f>
        <v>21707318039</v>
      </c>
      <c r="F2510" s="5" t="s">
        <v>17</v>
      </c>
      <c r="G2510" s="5" t="s">
        <v>18</v>
      </c>
      <c r="H2510" s="5" t="s">
        <v>18</v>
      </c>
      <c r="I2510" s="5" t="s">
        <v>33</v>
      </c>
      <c r="J2510" s="5" t="s">
        <v>807</v>
      </c>
      <c r="K2510" s="5" t="s">
        <v>1949</v>
      </c>
      <c r="L2510" s="6">
        <v>0.49513888888888885</v>
      </c>
      <c r="M2510" s="5" t="s">
        <v>1988</v>
      </c>
      <c r="N2510" s="5" t="s">
        <v>24</v>
      </c>
      <c r="O2510" s="5" t="s">
        <v>25</v>
      </c>
    </row>
    <row r="2511" spans="1:15">
      <c r="A2511" s="5" t="s">
        <v>15</v>
      </c>
      <c r="B2511" s="5" t="str">
        <f>"FES1162742607"</f>
        <v>FES1162742607</v>
      </c>
      <c r="C2511" s="5" t="s">
        <v>1845</v>
      </c>
      <c r="D2511" s="5">
        <v>1</v>
      </c>
      <c r="E2511" s="5" t="str">
        <f>"2170732196"</f>
        <v>2170732196</v>
      </c>
      <c r="F2511" s="5" t="s">
        <v>17</v>
      </c>
      <c r="G2511" s="5" t="s">
        <v>18</v>
      </c>
      <c r="H2511" s="5" t="s">
        <v>36</v>
      </c>
      <c r="I2511" s="5" t="s">
        <v>330</v>
      </c>
      <c r="J2511" s="5" t="s">
        <v>934</v>
      </c>
      <c r="K2511" s="5" t="s">
        <v>1949</v>
      </c>
      <c r="L2511" s="6">
        <v>0.46597222222222223</v>
      </c>
      <c r="M2511" s="5" t="s">
        <v>1050</v>
      </c>
      <c r="N2511" s="5" t="s">
        <v>24</v>
      </c>
      <c r="O2511" s="5" t="s">
        <v>25</v>
      </c>
    </row>
    <row r="2512" spans="1:15">
      <c r="A2512" s="5" t="s">
        <v>15</v>
      </c>
      <c r="B2512" s="5" t="str">
        <f>"FES1162742609"</f>
        <v>FES1162742609</v>
      </c>
      <c r="C2512" s="5" t="s">
        <v>1845</v>
      </c>
      <c r="D2512" s="5">
        <v>1</v>
      </c>
      <c r="E2512" s="5" t="str">
        <f>"21707322111"</f>
        <v>21707322111</v>
      </c>
      <c r="F2512" s="5" t="s">
        <v>17</v>
      </c>
      <c r="G2512" s="5" t="s">
        <v>18</v>
      </c>
      <c r="H2512" s="5" t="s">
        <v>36</v>
      </c>
      <c r="I2512" s="5" t="s">
        <v>37</v>
      </c>
      <c r="J2512" s="5" t="s">
        <v>260</v>
      </c>
      <c r="K2512" s="5" t="s">
        <v>1949</v>
      </c>
      <c r="L2512" s="6">
        <v>0.52986111111111112</v>
      </c>
      <c r="M2512" s="5" t="s">
        <v>379</v>
      </c>
      <c r="N2512" s="5" t="s">
        <v>24</v>
      </c>
      <c r="O2512" s="5" t="s">
        <v>25</v>
      </c>
    </row>
    <row r="2513" spans="1:15">
      <c r="A2513" s="5" t="s">
        <v>15</v>
      </c>
      <c r="B2513" s="5" t="str">
        <f>"FES1162742541"</f>
        <v>FES1162742541</v>
      </c>
      <c r="C2513" s="5" t="s">
        <v>1845</v>
      </c>
      <c r="D2513" s="5">
        <v>1</v>
      </c>
      <c r="E2513" s="5" t="str">
        <f>"2170733863"</f>
        <v>2170733863</v>
      </c>
      <c r="F2513" s="5" t="s">
        <v>17</v>
      </c>
      <c r="G2513" s="5" t="s">
        <v>18</v>
      </c>
      <c r="H2513" s="5" t="s">
        <v>66</v>
      </c>
      <c r="I2513" s="5" t="s">
        <v>67</v>
      </c>
      <c r="J2513" s="5" t="s">
        <v>1867</v>
      </c>
      <c r="K2513" s="5" t="s">
        <v>1949</v>
      </c>
      <c r="L2513" s="6">
        <v>0.3527777777777778</v>
      </c>
      <c r="M2513" s="5" t="s">
        <v>1868</v>
      </c>
      <c r="N2513" s="5" t="s">
        <v>24</v>
      </c>
      <c r="O2513" s="5" t="s">
        <v>25</v>
      </c>
    </row>
    <row r="2514" spans="1:15">
      <c r="A2514" s="3" t="s">
        <v>15</v>
      </c>
      <c r="B2514" s="3" t="str">
        <f>"FES1162742560"</f>
        <v>FES1162742560</v>
      </c>
      <c r="C2514" s="3" t="s">
        <v>1845</v>
      </c>
      <c r="D2514" s="3">
        <v>1</v>
      </c>
      <c r="E2514" s="3" t="str">
        <f>"2170731610"</f>
        <v>2170731610</v>
      </c>
      <c r="F2514" s="3" t="s">
        <v>17</v>
      </c>
      <c r="G2514" s="3" t="s">
        <v>18</v>
      </c>
      <c r="H2514" s="3" t="s">
        <v>46</v>
      </c>
      <c r="I2514" s="3" t="s">
        <v>47</v>
      </c>
      <c r="J2514" s="3" t="s">
        <v>677</v>
      </c>
      <c r="K2514" s="3" t="s">
        <v>1949</v>
      </c>
      <c r="L2514" s="4">
        <v>0.3527777777777778</v>
      </c>
      <c r="M2514" s="3" t="s">
        <v>1989</v>
      </c>
      <c r="N2514" s="3" t="s">
        <v>24</v>
      </c>
      <c r="O2514" s="3" t="s">
        <v>25</v>
      </c>
    </row>
    <row r="2515" spans="1:15">
      <c r="A2515" s="3" t="s">
        <v>15</v>
      </c>
      <c r="B2515" s="3" t="str">
        <f>"FES1162742650"</f>
        <v>FES1162742650</v>
      </c>
      <c r="C2515" s="3" t="s">
        <v>1845</v>
      </c>
      <c r="D2515" s="3">
        <v>1</v>
      </c>
      <c r="E2515" s="3" t="str">
        <f>"2170734083"</f>
        <v>2170734083</v>
      </c>
      <c r="F2515" s="3" t="s">
        <v>17</v>
      </c>
      <c r="G2515" s="3" t="s">
        <v>18</v>
      </c>
      <c r="H2515" s="3" t="s">
        <v>36</v>
      </c>
      <c r="I2515" s="3" t="s">
        <v>37</v>
      </c>
      <c r="J2515" s="3" t="s">
        <v>54</v>
      </c>
      <c r="K2515" s="3" t="s">
        <v>1949</v>
      </c>
      <c r="L2515" s="4">
        <v>0.50208333333333333</v>
      </c>
      <c r="M2515" s="3" t="s">
        <v>55</v>
      </c>
      <c r="N2515" s="3" t="s">
        <v>24</v>
      </c>
      <c r="O2515" s="3" t="s">
        <v>25</v>
      </c>
    </row>
    <row r="2516" spans="1:15">
      <c r="A2516" s="3" t="s">
        <v>15</v>
      </c>
      <c r="B2516" s="3" t="str">
        <f>"FES1162742698"</f>
        <v>FES1162742698</v>
      </c>
      <c r="C2516" s="3" t="s">
        <v>1845</v>
      </c>
      <c r="D2516" s="3">
        <v>1</v>
      </c>
      <c r="E2516" s="3" t="str">
        <f>"2170731580"</f>
        <v>2170731580</v>
      </c>
      <c r="F2516" s="3" t="s">
        <v>17</v>
      </c>
      <c r="G2516" s="3" t="s">
        <v>18</v>
      </c>
      <c r="H2516" s="3" t="s">
        <v>100</v>
      </c>
      <c r="I2516" s="3" t="s">
        <v>101</v>
      </c>
      <c r="J2516" s="3" t="s">
        <v>655</v>
      </c>
      <c r="K2516" s="3" t="s">
        <v>1949</v>
      </c>
      <c r="L2516" s="4">
        <v>0.39930555555555558</v>
      </c>
      <c r="M2516" s="3" t="s">
        <v>1547</v>
      </c>
      <c r="N2516" s="3" t="s">
        <v>24</v>
      </c>
      <c r="O2516" s="3" t="s">
        <v>25</v>
      </c>
    </row>
    <row r="2517" spans="1:15">
      <c r="A2517" s="3" t="s">
        <v>15</v>
      </c>
      <c r="B2517" s="3" t="str">
        <f>"FES1162742590"</f>
        <v>FES1162742590</v>
      </c>
      <c r="C2517" s="3" t="s">
        <v>1845</v>
      </c>
      <c r="D2517" s="3">
        <v>1</v>
      </c>
      <c r="E2517" s="3" t="str">
        <f>"2170731914"</f>
        <v>2170731914</v>
      </c>
      <c r="F2517" s="3" t="s">
        <v>17</v>
      </c>
      <c r="G2517" s="3" t="s">
        <v>18</v>
      </c>
      <c r="H2517" s="3" t="s">
        <v>36</v>
      </c>
      <c r="I2517" s="3" t="s">
        <v>37</v>
      </c>
      <c r="J2517" s="3" t="s">
        <v>187</v>
      </c>
      <c r="K2517" s="3" t="s">
        <v>1949</v>
      </c>
      <c r="L2517" s="4">
        <v>0.49305555555555558</v>
      </c>
      <c r="M2517" s="3" t="s">
        <v>188</v>
      </c>
      <c r="N2517" s="3" t="s">
        <v>24</v>
      </c>
      <c r="O2517" s="3" t="s">
        <v>25</v>
      </c>
    </row>
    <row r="2518" spans="1:15">
      <c r="A2518" s="3" t="s">
        <v>15</v>
      </c>
      <c r="B2518" s="3" t="str">
        <f>"FES1162742701"</f>
        <v>FES1162742701</v>
      </c>
      <c r="C2518" s="3" t="s">
        <v>1845</v>
      </c>
      <c r="D2518" s="3">
        <v>2</v>
      </c>
      <c r="E2518" s="3" t="str">
        <f>"2170731607"</f>
        <v>2170731607</v>
      </c>
      <c r="F2518" s="3" t="s">
        <v>17</v>
      </c>
      <c r="G2518" s="3" t="s">
        <v>18</v>
      </c>
      <c r="H2518" s="3" t="s">
        <v>100</v>
      </c>
      <c r="I2518" s="3" t="s">
        <v>117</v>
      </c>
      <c r="J2518" s="3" t="s">
        <v>784</v>
      </c>
      <c r="K2518" s="3" t="s">
        <v>1949</v>
      </c>
      <c r="L2518" s="4">
        <v>0.46319444444444446</v>
      </c>
      <c r="M2518" s="3" t="s">
        <v>1950</v>
      </c>
      <c r="N2518" s="3" t="s">
        <v>24</v>
      </c>
      <c r="O2518" s="3" t="s">
        <v>25</v>
      </c>
    </row>
    <row r="2519" spans="1:15">
      <c r="A2519" s="3" t="s">
        <v>15</v>
      </c>
      <c r="B2519" s="3" t="str">
        <f>"FES1162742601"</f>
        <v>FES1162742601</v>
      </c>
      <c r="C2519" s="3" t="s">
        <v>1845</v>
      </c>
      <c r="D2519" s="3">
        <v>1</v>
      </c>
      <c r="E2519" s="3" t="str">
        <f>"2170732124"</f>
        <v>2170732124</v>
      </c>
      <c r="F2519" s="3" t="s">
        <v>17</v>
      </c>
      <c r="G2519" s="3" t="s">
        <v>18</v>
      </c>
      <c r="H2519" s="3" t="s">
        <v>100</v>
      </c>
      <c r="I2519" s="3" t="s">
        <v>117</v>
      </c>
      <c r="J2519" s="3" t="s">
        <v>118</v>
      </c>
      <c r="K2519" s="3" t="s">
        <v>1949</v>
      </c>
      <c r="L2519" s="4">
        <v>0.47222222222222227</v>
      </c>
      <c r="M2519" s="3" t="s">
        <v>119</v>
      </c>
      <c r="N2519" s="3" t="s">
        <v>24</v>
      </c>
      <c r="O2519" s="3" t="s">
        <v>25</v>
      </c>
    </row>
    <row r="2520" spans="1:15">
      <c r="A2520" s="3" t="s">
        <v>15</v>
      </c>
      <c r="B2520" s="3" t="str">
        <f>"FES1162742616"</f>
        <v>FES1162742616</v>
      </c>
      <c r="C2520" s="3" t="s">
        <v>1845</v>
      </c>
      <c r="D2520" s="3">
        <v>1</v>
      </c>
      <c r="E2520" s="3" t="str">
        <f>"2170732317"</f>
        <v>2170732317</v>
      </c>
      <c r="F2520" s="3" t="s">
        <v>17</v>
      </c>
      <c r="G2520" s="3" t="s">
        <v>18</v>
      </c>
      <c r="H2520" s="3" t="s">
        <v>100</v>
      </c>
      <c r="I2520" s="3" t="s">
        <v>101</v>
      </c>
      <c r="J2520" s="3" t="s">
        <v>1990</v>
      </c>
      <c r="K2520" s="3" t="s">
        <v>1949</v>
      </c>
      <c r="L2520" s="4">
        <v>0.41666666666666669</v>
      </c>
      <c r="M2520" s="3" t="s">
        <v>232</v>
      </c>
      <c r="N2520" s="3" t="s">
        <v>24</v>
      </c>
      <c r="O2520" s="3" t="s">
        <v>25</v>
      </c>
    </row>
    <row r="2521" spans="1:15">
      <c r="A2521" s="3" t="s">
        <v>15</v>
      </c>
      <c r="B2521" s="3" t="str">
        <f>"FES1162742529"</f>
        <v>FES1162742529</v>
      </c>
      <c r="C2521" s="3" t="s">
        <v>1845</v>
      </c>
      <c r="D2521" s="3">
        <v>1</v>
      </c>
      <c r="E2521" s="3" t="str">
        <f>"2170731607"</f>
        <v>2170731607</v>
      </c>
      <c r="F2521" s="3" t="s">
        <v>17</v>
      </c>
      <c r="G2521" s="3" t="s">
        <v>18</v>
      </c>
      <c r="H2521" s="3" t="s">
        <v>100</v>
      </c>
      <c r="I2521" s="3" t="s">
        <v>117</v>
      </c>
      <c r="J2521" s="3" t="s">
        <v>784</v>
      </c>
      <c r="K2521" s="3" t="s">
        <v>1949</v>
      </c>
      <c r="L2521" s="4">
        <v>0.46319444444444446</v>
      </c>
      <c r="M2521" s="3" t="s">
        <v>1950</v>
      </c>
      <c r="N2521" s="3" t="s">
        <v>24</v>
      </c>
      <c r="O2521" s="3" t="s">
        <v>25</v>
      </c>
    </row>
    <row r="2522" spans="1:15">
      <c r="A2522" s="3" t="s">
        <v>15</v>
      </c>
      <c r="B2522" s="3" t="str">
        <f>"FES1162742544"</f>
        <v>FES1162742544</v>
      </c>
      <c r="C2522" s="3" t="s">
        <v>1845</v>
      </c>
      <c r="D2522" s="3">
        <v>1</v>
      </c>
      <c r="E2522" s="3" t="str">
        <f>"2170734048"</f>
        <v>2170734048</v>
      </c>
      <c r="F2522" s="3" t="s">
        <v>17</v>
      </c>
      <c r="G2522" s="3" t="s">
        <v>18</v>
      </c>
      <c r="H2522" s="3" t="s">
        <v>100</v>
      </c>
      <c r="I2522" s="3" t="s">
        <v>101</v>
      </c>
      <c r="J2522" s="3" t="s">
        <v>223</v>
      </c>
      <c r="K2522" s="3" t="s">
        <v>1949</v>
      </c>
      <c r="L2522" s="4">
        <v>0.37361111111111112</v>
      </c>
      <c r="M2522" s="3" t="s">
        <v>1991</v>
      </c>
      <c r="N2522" s="3" t="s">
        <v>24</v>
      </c>
      <c r="O2522" s="3" t="s">
        <v>25</v>
      </c>
    </row>
    <row r="2523" spans="1:15">
      <c r="A2523" s="3" t="s">
        <v>15</v>
      </c>
      <c r="B2523" s="3" t="str">
        <f>"FES1162742602"</f>
        <v>FES1162742602</v>
      </c>
      <c r="C2523" s="3" t="s">
        <v>1845</v>
      </c>
      <c r="D2523" s="3">
        <v>1</v>
      </c>
      <c r="E2523" s="3" t="str">
        <f>"2170732130"</f>
        <v>2170732130</v>
      </c>
      <c r="F2523" s="3" t="s">
        <v>17</v>
      </c>
      <c r="G2523" s="3" t="s">
        <v>18</v>
      </c>
      <c r="H2523" s="3" t="s">
        <v>18</v>
      </c>
      <c r="I2523" s="3" t="s">
        <v>180</v>
      </c>
      <c r="J2523" s="3" t="s">
        <v>405</v>
      </c>
      <c r="K2523" s="3" t="s">
        <v>1949</v>
      </c>
      <c r="L2523" s="4">
        <v>0.40138888888888885</v>
      </c>
      <c r="M2523" s="3" t="s">
        <v>1992</v>
      </c>
      <c r="N2523" s="3" t="s">
        <v>24</v>
      </c>
      <c r="O2523" s="3" t="s">
        <v>25</v>
      </c>
    </row>
    <row r="2524" spans="1:15">
      <c r="A2524" s="3" t="s">
        <v>15</v>
      </c>
      <c r="B2524" s="3" t="str">
        <f>"FES1162742536"</f>
        <v>FES1162742536</v>
      </c>
      <c r="C2524" s="3" t="s">
        <v>1845</v>
      </c>
      <c r="D2524" s="3">
        <v>1</v>
      </c>
      <c r="E2524" s="3" t="str">
        <f>"2170732041"</f>
        <v>2170732041</v>
      </c>
      <c r="F2524" s="3" t="s">
        <v>17</v>
      </c>
      <c r="G2524" s="3" t="s">
        <v>18</v>
      </c>
      <c r="H2524" s="3" t="s">
        <v>18</v>
      </c>
      <c r="I2524" s="3" t="s">
        <v>291</v>
      </c>
      <c r="J2524" s="3" t="s">
        <v>971</v>
      </c>
      <c r="K2524" s="3" t="s">
        <v>1949</v>
      </c>
      <c r="L2524" s="4">
        <v>0.33333333333333331</v>
      </c>
      <c r="M2524" s="3" t="s">
        <v>1993</v>
      </c>
      <c r="N2524" s="3" t="s">
        <v>24</v>
      </c>
      <c r="O2524" s="3" t="s">
        <v>25</v>
      </c>
    </row>
    <row r="2525" spans="1:15">
      <c r="A2525" s="3" t="s">
        <v>15</v>
      </c>
      <c r="B2525" s="3" t="str">
        <f>"FES1162742632"</f>
        <v>FES1162742632</v>
      </c>
      <c r="C2525" s="3" t="s">
        <v>1845</v>
      </c>
      <c r="D2525" s="3">
        <v>1</v>
      </c>
      <c r="E2525" s="3" t="str">
        <f>"2170734062"</f>
        <v>2170734062</v>
      </c>
      <c r="F2525" s="3" t="s">
        <v>17</v>
      </c>
      <c r="G2525" s="3" t="s">
        <v>18</v>
      </c>
      <c r="H2525" s="3" t="s">
        <v>18</v>
      </c>
      <c r="I2525" s="3" t="s">
        <v>313</v>
      </c>
      <c r="J2525" s="3" t="s">
        <v>314</v>
      </c>
      <c r="K2525" s="3" t="s">
        <v>1949</v>
      </c>
      <c r="L2525" s="4">
        <v>0.4375</v>
      </c>
      <c r="M2525" s="3" t="s">
        <v>1994</v>
      </c>
      <c r="N2525" s="3" t="s">
        <v>24</v>
      </c>
      <c r="O2525" s="3" t="s">
        <v>25</v>
      </c>
    </row>
    <row r="2526" spans="1:15">
      <c r="A2526" s="3" t="s">
        <v>15</v>
      </c>
      <c r="B2526" s="3" t="str">
        <f>"FES1162742761"</f>
        <v>FES1162742761</v>
      </c>
      <c r="C2526" s="3" t="s">
        <v>1845</v>
      </c>
      <c r="D2526" s="3">
        <v>1</v>
      </c>
      <c r="E2526" s="3" t="str">
        <f>"2170734143"</f>
        <v>2170734143</v>
      </c>
      <c r="F2526" s="3" t="s">
        <v>17</v>
      </c>
      <c r="G2526" s="3" t="s">
        <v>18</v>
      </c>
      <c r="H2526" s="3" t="s">
        <v>18</v>
      </c>
      <c r="I2526" s="3" t="s">
        <v>33</v>
      </c>
      <c r="J2526" s="3" t="s">
        <v>34</v>
      </c>
      <c r="K2526" s="3" t="s">
        <v>1949</v>
      </c>
      <c r="L2526" s="4">
        <v>0.40138888888888885</v>
      </c>
      <c r="M2526" s="3" t="s">
        <v>1995</v>
      </c>
      <c r="N2526" s="3" t="s">
        <v>24</v>
      </c>
      <c r="O2526" s="3" t="s">
        <v>25</v>
      </c>
    </row>
    <row r="2527" spans="1:15">
      <c r="A2527" s="3" t="s">
        <v>15</v>
      </c>
      <c r="B2527" s="3" t="str">
        <f>"FES1162742670"</f>
        <v>FES1162742670</v>
      </c>
      <c r="C2527" s="3" t="s">
        <v>1845</v>
      </c>
      <c r="D2527" s="3">
        <v>1</v>
      </c>
      <c r="E2527" s="3" t="str">
        <f>"2170734104"</f>
        <v>2170734104</v>
      </c>
      <c r="F2527" s="3" t="s">
        <v>17</v>
      </c>
      <c r="G2527" s="3" t="s">
        <v>18</v>
      </c>
      <c r="H2527" s="3" t="s">
        <v>18</v>
      </c>
      <c r="I2527" s="3" t="s">
        <v>453</v>
      </c>
      <c r="J2527" s="3" t="s">
        <v>1996</v>
      </c>
      <c r="K2527" s="3" t="s">
        <v>1949</v>
      </c>
      <c r="L2527" s="4">
        <v>0.33333333333333331</v>
      </c>
      <c r="M2527" s="3" t="s">
        <v>1997</v>
      </c>
      <c r="N2527" s="3" t="s">
        <v>24</v>
      </c>
      <c r="O2527" s="3" t="s">
        <v>25</v>
      </c>
    </row>
    <row r="2528" spans="1:15">
      <c r="A2528" s="3" t="s">
        <v>15</v>
      </c>
      <c r="B2528" s="3" t="str">
        <f>"FES1162742642"</f>
        <v>FES1162742642</v>
      </c>
      <c r="C2528" s="3" t="s">
        <v>1845</v>
      </c>
      <c r="D2528" s="3">
        <v>1</v>
      </c>
      <c r="E2528" s="3" t="str">
        <f>"2170734076"</f>
        <v>2170734076</v>
      </c>
      <c r="F2528" s="3" t="s">
        <v>17</v>
      </c>
      <c r="G2528" s="3" t="s">
        <v>18</v>
      </c>
      <c r="H2528" s="3" t="s">
        <v>18</v>
      </c>
      <c r="I2528" s="3" t="s">
        <v>33</v>
      </c>
      <c r="J2528" s="3" t="s">
        <v>543</v>
      </c>
      <c r="K2528" s="3" t="s">
        <v>1949</v>
      </c>
      <c r="L2528" s="4">
        <v>0.375</v>
      </c>
      <c r="M2528" s="3" t="s">
        <v>1998</v>
      </c>
      <c r="N2528" s="3" t="s">
        <v>24</v>
      </c>
      <c r="O2528" s="3" t="s">
        <v>25</v>
      </c>
    </row>
    <row r="2529" spans="1:15">
      <c r="A2529" s="3" t="s">
        <v>15</v>
      </c>
      <c r="B2529" s="3" t="str">
        <f>"FES1162742583"</f>
        <v>FES1162742583</v>
      </c>
      <c r="C2529" s="3" t="s">
        <v>1845</v>
      </c>
      <c r="D2529" s="3">
        <v>1</v>
      </c>
      <c r="E2529" s="3" t="str">
        <f>"2170731844"</f>
        <v>2170731844</v>
      </c>
      <c r="F2529" s="3" t="s">
        <v>17</v>
      </c>
      <c r="G2529" s="3" t="s">
        <v>18</v>
      </c>
      <c r="H2529" s="3" t="s">
        <v>18</v>
      </c>
      <c r="I2529" s="3" t="s">
        <v>33</v>
      </c>
      <c r="J2529" s="3" t="s">
        <v>729</v>
      </c>
      <c r="K2529" s="3" t="s">
        <v>1949</v>
      </c>
      <c r="L2529" s="4">
        <v>0.49583333333333335</v>
      </c>
      <c r="M2529" s="3" t="s">
        <v>729</v>
      </c>
      <c r="N2529" s="3" t="s">
        <v>24</v>
      </c>
      <c r="O2529" s="3" t="s">
        <v>25</v>
      </c>
    </row>
    <row r="2530" spans="1:15">
      <c r="A2530" s="3" t="s">
        <v>15</v>
      </c>
      <c r="B2530" s="3" t="str">
        <f>"FES1162742548"</f>
        <v>FES1162742548</v>
      </c>
      <c r="C2530" s="3" t="s">
        <v>1845</v>
      </c>
      <c r="D2530" s="3">
        <v>1</v>
      </c>
      <c r="E2530" s="3" t="str">
        <f>"2170728433"</f>
        <v>2170728433</v>
      </c>
      <c r="F2530" s="3" t="s">
        <v>17</v>
      </c>
      <c r="G2530" s="3" t="s">
        <v>18</v>
      </c>
      <c r="H2530" s="3" t="s">
        <v>18</v>
      </c>
      <c r="I2530" s="3" t="s">
        <v>29</v>
      </c>
      <c r="J2530" s="3" t="s">
        <v>980</v>
      </c>
      <c r="K2530" s="3" t="s">
        <v>1949</v>
      </c>
      <c r="L2530" s="4">
        <v>0.33194444444444443</v>
      </c>
      <c r="M2530" s="3" t="s">
        <v>912</v>
      </c>
      <c r="N2530" s="3" t="s">
        <v>24</v>
      </c>
      <c r="O2530" s="3" t="s">
        <v>25</v>
      </c>
    </row>
    <row r="2531" spans="1:15">
      <c r="A2531" s="3" t="s">
        <v>15</v>
      </c>
      <c r="B2531" s="3" t="str">
        <f>"FES1162742596"</f>
        <v>FES1162742596</v>
      </c>
      <c r="C2531" s="3" t="s">
        <v>1845</v>
      </c>
      <c r="D2531" s="3">
        <v>1</v>
      </c>
      <c r="E2531" s="3" t="str">
        <f>"2170732063"</f>
        <v>2170732063</v>
      </c>
      <c r="F2531" s="3" t="s">
        <v>17</v>
      </c>
      <c r="G2531" s="3" t="s">
        <v>18</v>
      </c>
      <c r="H2531" s="3" t="s">
        <v>18</v>
      </c>
      <c r="I2531" s="3" t="s">
        <v>29</v>
      </c>
      <c r="J2531" s="3" t="s">
        <v>980</v>
      </c>
      <c r="K2531" s="3" t="s">
        <v>1949</v>
      </c>
      <c r="L2531" s="4">
        <v>0.39652777777777781</v>
      </c>
      <c r="M2531" s="3" t="s">
        <v>1999</v>
      </c>
      <c r="N2531" s="3" t="s">
        <v>24</v>
      </c>
      <c r="O2531" s="3" t="s">
        <v>25</v>
      </c>
    </row>
    <row r="2532" spans="1:15">
      <c r="A2532" s="3" t="s">
        <v>15</v>
      </c>
      <c r="B2532" s="3" t="str">
        <f>"FES1162742653"</f>
        <v>FES1162742653</v>
      </c>
      <c r="C2532" s="3" t="s">
        <v>1845</v>
      </c>
      <c r="D2532" s="3">
        <v>1</v>
      </c>
      <c r="E2532" s="3" t="str">
        <f>"2170734087"</f>
        <v>2170734087</v>
      </c>
      <c r="F2532" s="3" t="s">
        <v>17</v>
      </c>
      <c r="G2532" s="3" t="s">
        <v>18</v>
      </c>
      <c r="H2532" s="3" t="s">
        <v>18</v>
      </c>
      <c r="I2532" s="3" t="s">
        <v>291</v>
      </c>
      <c r="J2532" s="3" t="s">
        <v>968</v>
      </c>
      <c r="K2532" s="3" t="s">
        <v>1949</v>
      </c>
      <c r="L2532" s="4">
        <v>0.33333333333333331</v>
      </c>
      <c r="M2532" s="3" t="s">
        <v>2000</v>
      </c>
      <c r="N2532" s="3" t="s">
        <v>24</v>
      </c>
      <c r="O2532" s="3" t="s">
        <v>25</v>
      </c>
    </row>
    <row r="2533" spans="1:15">
      <c r="A2533" s="3" t="s">
        <v>15</v>
      </c>
      <c r="B2533" s="3" t="str">
        <f>"FES1162742614"</f>
        <v>FES1162742614</v>
      </c>
      <c r="C2533" s="3" t="s">
        <v>1845</v>
      </c>
      <c r="D2533" s="3">
        <v>1</v>
      </c>
      <c r="E2533" s="3" t="str">
        <f>"2170732271"</f>
        <v>2170732271</v>
      </c>
      <c r="F2533" s="3" t="s">
        <v>17</v>
      </c>
      <c r="G2533" s="3" t="s">
        <v>18</v>
      </c>
      <c r="H2533" s="3" t="s">
        <v>18</v>
      </c>
      <c r="I2533" s="3" t="s">
        <v>33</v>
      </c>
      <c r="J2533" s="3" t="s">
        <v>1119</v>
      </c>
      <c r="K2533" s="3" t="s">
        <v>1949</v>
      </c>
      <c r="L2533" s="4">
        <v>0.42986111111111108</v>
      </c>
      <c r="M2533" s="3" t="s">
        <v>2001</v>
      </c>
      <c r="N2533" s="3" t="s">
        <v>24</v>
      </c>
      <c r="O2533" s="3" t="s">
        <v>25</v>
      </c>
    </row>
    <row r="2534" spans="1:15">
      <c r="A2534" s="3" t="s">
        <v>15</v>
      </c>
      <c r="B2534" s="3" t="str">
        <f>"FES1162742662"</f>
        <v>FES1162742662</v>
      </c>
      <c r="C2534" s="3" t="s">
        <v>1845</v>
      </c>
      <c r="D2534" s="3">
        <v>1</v>
      </c>
      <c r="E2534" s="3" t="str">
        <f>"2170734096"</f>
        <v>2170734096</v>
      </c>
      <c r="F2534" s="3" t="s">
        <v>17</v>
      </c>
      <c r="G2534" s="3" t="s">
        <v>18</v>
      </c>
      <c r="H2534" s="3" t="s">
        <v>18</v>
      </c>
      <c r="I2534" s="3" t="s">
        <v>171</v>
      </c>
      <c r="J2534" s="3" t="s">
        <v>946</v>
      </c>
      <c r="K2534" s="3" t="s">
        <v>1949</v>
      </c>
      <c r="L2534" s="4">
        <v>0.35486111111111113</v>
      </c>
      <c r="M2534" s="3" t="s">
        <v>2002</v>
      </c>
      <c r="N2534" s="3" t="s">
        <v>24</v>
      </c>
      <c r="O2534" s="3" t="s">
        <v>25</v>
      </c>
    </row>
    <row r="2535" spans="1:15">
      <c r="A2535" s="3" t="s">
        <v>15</v>
      </c>
      <c r="B2535" s="3" t="str">
        <f>"FES1162742620"</f>
        <v>FES1162742620</v>
      </c>
      <c r="C2535" s="3" t="s">
        <v>1845</v>
      </c>
      <c r="D2535" s="3">
        <v>1</v>
      </c>
      <c r="E2535" s="3" t="str">
        <f>"2170732754"</f>
        <v>2170732754</v>
      </c>
      <c r="F2535" s="3" t="s">
        <v>17</v>
      </c>
      <c r="G2535" s="3" t="s">
        <v>18</v>
      </c>
      <c r="H2535" s="3" t="s">
        <v>66</v>
      </c>
      <c r="I2535" s="3" t="s">
        <v>158</v>
      </c>
      <c r="J2535" s="3" t="s">
        <v>159</v>
      </c>
      <c r="K2535" s="3" t="s">
        <v>1949</v>
      </c>
      <c r="L2535" s="4">
        <v>0.35486111111111113</v>
      </c>
      <c r="M2535" s="3" t="s">
        <v>2003</v>
      </c>
      <c r="N2535" s="3" t="s">
        <v>24</v>
      </c>
      <c r="O2535" s="3" t="s">
        <v>25</v>
      </c>
    </row>
    <row r="2536" spans="1:15">
      <c r="A2536" s="3" t="s">
        <v>15</v>
      </c>
      <c r="B2536" s="3" t="str">
        <f>"FES1162742678"</f>
        <v>FES1162742678</v>
      </c>
      <c r="C2536" s="3" t="s">
        <v>1845</v>
      </c>
      <c r="D2536" s="3">
        <v>1</v>
      </c>
      <c r="E2536" s="3" t="str">
        <f>"2170734113"</f>
        <v>2170734113</v>
      </c>
      <c r="F2536" s="3" t="s">
        <v>17</v>
      </c>
      <c r="G2536" s="3" t="s">
        <v>18</v>
      </c>
      <c r="H2536" s="3" t="s">
        <v>18</v>
      </c>
      <c r="I2536" s="3" t="s">
        <v>29</v>
      </c>
      <c r="J2536" s="3" t="s">
        <v>543</v>
      </c>
      <c r="K2536" s="3" t="s">
        <v>1949</v>
      </c>
      <c r="L2536" s="4">
        <v>0.33333333333333331</v>
      </c>
      <c r="M2536" s="3" t="s">
        <v>1655</v>
      </c>
      <c r="N2536" s="3" t="s">
        <v>24</v>
      </c>
      <c r="O2536" s="3" t="s">
        <v>25</v>
      </c>
    </row>
    <row r="2537" spans="1:15">
      <c r="A2537" s="5" t="s">
        <v>15</v>
      </c>
      <c r="B2537" s="5" t="str">
        <f>"FES1162742574"</f>
        <v>FES1162742574</v>
      </c>
      <c r="C2537" s="5" t="s">
        <v>1845</v>
      </c>
      <c r="D2537" s="5">
        <v>1</v>
      </c>
      <c r="E2537" s="5" t="str">
        <f>"2170731732"</f>
        <v>2170731732</v>
      </c>
      <c r="F2537" s="5" t="s">
        <v>17</v>
      </c>
      <c r="G2537" s="5" t="s">
        <v>18</v>
      </c>
      <c r="H2537" s="5" t="s">
        <v>70</v>
      </c>
      <c r="I2537" s="5" t="s">
        <v>71</v>
      </c>
      <c r="J2537" s="5" t="s">
        <v>243</v>
      </c>
      <c r="K2537" s="5" t="s">
        <v>1949</v>
      </c>
      <c r="L2537" s="6">
        <v>0.3888888888888889</v>
      </c>
      <c r="M2537" s="5" t="s">
        <v>2004</v>
      </c>
      <c r="N2537" s="5" t="s">
        <v>24</v>
      </c>
      <c r="O2537" s="5" t="s">
        <v>25</v>
      </c>
    </row>
    <row r="2538" spans="1:15">
      <c r="A2538" s="5" t="s">
        <v>15</v>
      </c>
      <c r="B2538" s="5" t="str">
        <f>"FES1162742723"</f>
        <v>FES1162742723</v>
      </c>
      <c r="C2538" s="5" t="s">
        <v>1845</v>
      </c>
      <c r="D2538" s="5">
        <v>1</v>
      </c>
      <c r="E2538" s="5" t="str">
        <f>"2170733155"</f>
        <v>2170733155</v>
      </c>
      <c r="F2538" s="5" t="s">
        <v>17</v>
      </c>
      <c r="G2538" s="5" t="s">
        <v>18</v>
      </c>
      <c r="H2538" s="5" t="s">
        <v>70</v>
      </c>
      <c r="I2538" s="5" t="s">
        <v>507</v>
      </c>
      <c r="J2538" s="5" t="s">
        <v>821</v>
      </c>
      <c r="K2538" s="5" t="s">
        <v>1949</v>
      </c>
      <c r="L2538" s="6">
        <v>0.44513888888888892</v>
      </c>
      <c r="M2538" s="5" t="s">
        <v>1687</v>
      </c>
      <c r="N2538" s="5" t="s">
        <v>24</v>
      </c>
      <c r="O2538" s="5" t="s">
        <v>25</v>
      </c>
    </row>
    <row r="2539" spans="1:15">
      <c r="A2539" s="5" t="s">
        <v>15</v>
      </c>
      <c r="B2539" s="5" t="str">
        <f>"FES1162742564"</f>
        <v>FES1162742564</v>
      </c>
      <c r="C2539" s="5" t="s">
        <v>1845</v>
      </c>
      <c r="D2539" s="5">
        <v>1</v>
      </c>
      <c r="E2539" s="5" t="str">
        <f>"2170731661"</f>
        <v>2170731661</v>
      </c>
      <c r="F2539" s="5" t="s">
        <v>17</v>
      </c>
      <c r="G2539" s="5" t="s">
        <v>18</v>
      </c>
      <c r="H2539" s="5" t="s">
        <v>18</v>
      </c>
      <c r="I2539" s="5" t="s">
        <v>151</v>
      </c>
      <c r="J2539" s="5" t="s">
        <v>556</v>
      </c>
      <c r="K2539" s="5" t="s">
        <v>1949</v>
      </c>
      <c r="L2539" s="6">
        <v>0.33333333333333331</v>
      </c>
      <c r="M2539" s="5" t="s">
        <v>2005</v>
      </c>
      <c r="N2539" s="5" t="s">
        <v>24</v>
      </c>
      <c r="O2539" s="5" t="s">
        <v>25</v>
      </c>
    </row>
    <row r="2540" spans="1:15">
      <c r="A2540" s="5" t="s">
        <v>15</v>
      </c>
      <c r="B2540" s="5" t="str">
        <f>"FES1162742676"</f>
        <v>FES1162742676</v>
      </c>
      <c r="C2540" s="5" t="s">
        <v>1845</v>
      </c>
      <c r="D2540" s="5">
        <v>1</v>
      </c>
      <c r="E2540" s="5" t="str">
        <f>"2170734108"</f>
        <v>2170734108</v>
      </c>
      <c r="F2540" s="5" t="s">
        <v>17</v>
      </c>
      <c r="G2540" s="5" t="s">
        <v>18</v>
      </c>
      <c r="H2540" s="5" t="s">
        <v>19</v>
      </c>
      <c r="I2540" s="5" t="s">
        <v>20</v>
      </c>
      <c r="J2540" s="5" t="s">
        <v>358</v>
      </c>
      <c r="K2540" s="5" t="s">
        <v>1949</v>
      </c>
      <c r="L2540" s="6">
        <v>0.38055555555555554</v>
      </c>
      <c r="M2540" s="5" t="s">
        <v>1976</v>
      </c>
      <c r="N2540" s="5" t="s">
        <v>24</v>
      </c>
      <c r="O2540" s="5" t="s">
        <v>25</v>
      </c>
    </row>
    <row r="2541" spans="1:15">
      <c r="A2541" s="5" t="s">
        <v>15</v>
      </c>
      <c r="B2541" s="5" t="str">
        <f>"FES1162742545"</f>
        <v>FES1162742545</v>
      </c>
      <c r="C2541" s="5" t="s">
        <v>1845</v>
      </c>
      <c r="D2541" s="5">
        <v>1</v>
      </c>
      <c r="E2541" s="5" t="str">
        <f>"2170734049"</f>
        <v>2170734049</v>
      </c>
      <c r="F2541" s="5" t="s">
        <v>17</v>
      </c>
      <c r="G2541" s="5" t="s">
        <v>18</v>
      </c>
      <c r="H2541" s="5" t="s">
        <v>18</v>
      </c>
      <c r="I2541" s="5" t="s">
        <v>222</v>
      </c>
      <c r="J2541" s="5" t="s">
        <v>716</v>
      </c>
      <c r="K2541" s="5" t="s">
        <v>1949</v>
      </c>
      <c r="L2541" s="6">
        <v>0.38055555555555554</v>
      </c>
      <c r="M2541" s="5" t="s">
        <v>2006</v>
      </c>
      <c r="N2541" s="5" t="s">
        <v>24</v>
      </c>
      <c r="O2541" s="5" t="s">
        <v>25</v>
      </c>
    </row>
    <row r="2542" spans="1:15">
      <c r="A2542" s="5" t="s">
        <v>15</v>
      </c>
      <c r="B2542" s="5" t="str">
        <f>"FES1162742556"</f>
        <v>FES1162742556</v>
      </c>
      <c r="C2542" s="5" t="s">
        <v>1845</v>
      </c>
      <c r="D2542" s="5">
        <v>1</v>
      </c>
      <c r="E2542" s="5" t="str">
        <f>"2170731596"</f>
        <v>2170731596</v>
      </c>
      <c r="F2542" s="5" t="s">
        <v>17</v>
      </c>
      <c r="G2542" s="5" t="s">
        <v>18</v>
      </c>
      <c r="H2542" s="5" t="s">
        <v>18</v>
      </c>
      <c r="I2542" s="5" t="s">
        <v>29</v>
      </c>
      <c r="J2542" s="5" t="s">
        <v>679</v>
      </c>
      <c r="K2542" s="5" t="s">
        <v>1949</v>
      </c>
      <c r="L2542" s="6">
        <v>0.31944444444444448</v>
      </c>
      <c r="M2542" s="5" t="s">
        <v>268</v>
      </c>
      <c r="N2542" s="5" t="s">
        <v>24</v>
      </c>
      <c r="O2542" s="5" t="s">
        <v>25</v>
      </c>
    </row>
    <row r="2543" spans="1:15">
      <c r="A2543" s="5" t="s">
        <v>15</v>
      </c>
      <c r="B2543" s="5" t="str">
        <f>"FES1162742692"</f>
        <v>FES1162742692</v>
      </c>
      <c r="C2543" s="5" t="s">
        <v>1845</v>
      </c>
      <c r="D2543" s="5">
        <v>1</v>
      </c>
      <c r="E2543" s="5" t="str">
        <f>"2170730352"</f>
        <v>2170730352</v>
      </c>
      <c r="F2543" s="5" t="s">
        <v>17</v>
      </c>
      <c r="G2543" s="5" t="s">
        <v>18</v>
      </c>
      <c r="H2543" s="5" t="s">
        <v>19</v>
      </c>
      <c r="I2543" s="5" t="s">
        <v>51</v>
      </c>
      <c r="J2543" s="5" t="s">
        <v>89</v>
      </c>
      <c r="K2543" s="5" t="s">
        <v>1949</v>
      </c>
      <c r="L2543" s="6">
        <v>0.34722222222222227</v>
      </c>
      <c r="M2543" s="5" t="s">
        <v>419</v>
      </c>
      <c r="N2543" s="5" t="s">
        <v>24</v>
      </c>
      <c r="O2543" s="5" t="s">
        <v>25</v>
      </c>
    </row>
    <row r="2544" spans="1:15">
      <c r="A2544" s="5" t="s">
        <v>15</v>
      </c>
      <c r="B2544" s="5" t="str">
        <f>"FES1162742644"</f>
        <v>FES1162742644</v>
      </c>
      <c r="C2544" s="5" t="s">
        <v>1845</v>
      </c>
      <c r="D2544" s="5">
        <v>1</v>
      </c>
      <c r="E2544" s="5" t="str">
        <f>"2170734072"</f>
        <v>2170734072</v>
      </c>
      <c r="F2544" s="5" t="s">
        <v>17</v>
      </c>
      <c r="G2544" s="5" t="s">
        <v>18</v>
      </c>
      <c r="H2544" s="5" t="s">
        <v>19</v>
      </c>
      <c r="I2544" s="5" t="s">
        <v>86</v>
      </c>
      <c r="J2544" s="5" t="s">
        <v>1622</v>
      </c>
      <c r="K2544" s="5" t="s">
        <v>1949</v>
      </c>
      <c r="L2544" s="6">
        <v>0.54652777777777783</v>
      </c>
      <c r="M2544" s="5" t="s">
        <v>2007</v>
      </c>
      <c r="N2544" s="5" t="s">
        <v>24</v>
      </c>
      <c r="O2544" s="5" t="s">
        <v>25</v>
      </c>
    </row>
    <row r="2545" spans="1:15">
      <c r="A2545" s="5" t="s">
        <v>15</v>
      </c>
      <c r="B2545" s="5" t="str">
        <f>"FES1162742626"</f>
        <v>FES1162742626</v>
      </c>
      <c r="C2545" s="5" t="s">
        <v>1845</v>
      </c>
      <c r="D2545" s="5">
        <v>1</v>
      </c>
      <c r="E2545" s="5" t="str">
        <f>"2170733692"</f>
        <v>2170733692</v>
      </c>
      <c r="F2545" s="5" t="s">
        <v>17</v>
      </c>
      <c r="G2545" s="5" t="s">
        <v>18</v>
      </c>
      <c r="H2545" s="5" t="s">
        <v>19</v>
      </c>
      <c r="I2545" s="5" t="s">
        <v>236</v>
      </c>
      <c r="J2545" s="5" t="s">
        <v>237</v>
      </c>
      <c r="K2545" s="5" t="s">
        <v>1949</v>
      </c>
      <c r="L2545" s="6">
        <v>0.37777777777777777</v>
      </c>
      <c r="M2545" s="5" t="s">
        <v>2008</v>
      </c>
      <c r="N2545" s="5" t="s">
        <v>24</v>
      </c>
      <c r="O2545" s="5" t="s">
        <v>25</v>
      </c>
    </row>
    <row r="2546" spans="1:15">
      <c r="A2546" s="5" t="s">
        <v>15</v>
      </c>
      <c r="B2546" s="5" t="str">
        <f>"FES1162742734"</f>
        <v>FES1162742734</v>
      </c>
      <c r="C2546" s="5" t="s">
        <v>1845</v>
      </c>
      <c r="D2546" s="5">
        <v>1</v>
      </c>
      <c r="E2546" s="5" t="str">
        <f>"2170733836"</f>
        <v>2170733836</v>
      </c>
      <c r="F2546" s="5" t="s">
        <v>17</v>
      </c>
      <c r="G2546" s="5" t="s">
        <v>18</v>
      </c>
      <c r="H2546" s="5" t="s">
        <v>19</v>
      </c>
      <c r="I2546" s="5" t="s">
        <v>20</v>
      </c>
      <c r="J2546" s="5" t="s">
        <v>1141</v>
      </c>
      <c r="K2546" s="5" t="s">
        <v>1949</v>
      </c>
      <c r="L2546" s="6">
        <v>0.40763888888888888</v>
      </c>
      <c r="M2546" s="5" t="s">
        <v>2009</v>
      </c>
      <c r="N2546" s="5" t="s">
        <v>24</v>
      </c>
      <c r="O2546" s="5" t="s">
        <v>25</v>
      </c>
    </row>
    <row r="2547" spans="1:15">
      <c r="A2547" s="5" t="s">
        <v>15</v>
      </c>
      <c r="B2547" s="5" t="str">
        <f>"FES1162742696"</f>
        <v>FES1162742696</v>
      </c>
      <c r="C2547" s="5" t="s">
        <v>1845</v>
      </c>
      <c r="D2547" s="5">
        <v>1</v>
      </c>
      <c r="E2547" s="5" t="str">
        <f>"2170731343"</f>
        <v>2170731343</v>
      </c>
      <c r="F2547" s="5" t="s">
        <v>17</v>
      </c>
      <c r="G2547" s="5" t="s">
        <v>18</v>
      </c>
      <c r="H2547" s="5" t="s">
        <v>18</v>
      </c>
      <c r="I2547" s="5" t="s">
        <v>206</v>
      </c>
      <c r="J2547" s="5" t="s">
        <v>399</v>
      </c>
      <c r="K2547" s="5" t="s">
        <v>1949</v>
      </c>
      <c r="L2547" s="6">
        <v>0.33333333333333331</v>
      </c>
      <c r="M2547" s="5" t="s">
        <v>2010</v>
      </c>
      <c r="N2547" s="5" t="s">
        <v>24</v>
      </c>
      <c r="O2547" s="5" t="s">
        <v>25</v>
      </c>
    </row>
    <row r="2548" spans="1:15">
      <c r="A2548" s="3" t="s">
        <v>15</v>
      </c>
      <c r="B2548" s="3" t="str">
        <f>"FES1162742664"</f>
        <v>FES1162742664</v>
      </c>
      <c r="C2548" s="3" t="s">
        <v>1845</v>
      </c>
      <c r="D2548" s="3">
        <v>1</v>
      </c>
      <c r="E2548" s="3" t="str">
        <f>"2170734098"</f>
        <v>2170734098</v>
      </c>
      <c r="F2548" s="3" t="s">
        <v>17</v>
      </c>
      <c r="G2548" s="3" t="s">
        <v>18</v>
      </c>
      <c r="H2548" s="3" t="s">
        <v>36</v>
      </c>
      <c r="I2548" s="3" t="s">
        <v>37</v>
      </c>
      <c r="J2548" s="3" t="s">
        <v>260</v>
      </c>
      <c r="K2548" s="3" t="s">
        <v>1949</v>
      </c>
      <c r="L2548" s="4">
        <v>0.52500000000000002</v>
      </c>
      <c r="M2548" s="3" t="s">
        <v>379</v>
      </c>
      <c r="N2548" s="3" t="s">
        <v>24</v>
      </c>
      <c r="O2548" s="3" t="s">
        <v>25</v>
      </c>
    </row>
    <row r="2549" spans="1:15">
      <c r="A2549" s="3" t="s">
        <v>15</v>
      </c>
      <c r="B2549" s="3" t="str">
        <f>"FES1162742757"</f>
        <v>FES1162742757</v>
      </c>
      <c r="C2549" s="3" t="s">
        <v>1845</v>
      </c>
      <c r="D2549" s="3">
        <v>1</v>
      </c>
      <c r="E2549" s="3" t="str">
        <f>"2170734139"</f>
        <v>2170734139</v>
      </c>
      <c r="F2549" s="3" t="s">
        <v>17</v>
      </c>
      <c r="G2549" s="3" t="s">
        <v>18</v>
      </c>
      <c r="H2549" s="3" t="s">
        <v>18</v>
      </c>
      <c r="I2549" s="3" t="s">
        <v>171</v>
      </c>
      <c r="J2549" s="3" t="s">
        <v>197</v>
      </c>
      <c r="K2549" s="3" t="s">
        <v>1949</v>
      </c>
      <c r="L2549" s="4">
        <v>0.38541666666666669</v>
      </c>
      <c r="M2549" s="3" t="s">
        <v>198</v>
      </c>
      <c r="N2549" s="3" t="s">
        <v>24</v>
      </c>
      <c r="O2549" s="3" t="s">
        <v>25</v>
      </c>
    </row>
    <row r="2550" spans="1:15">
      <c r="A2550" s="3" t="s">
        <v>15</v>
      </c>
      <c r="B2550" s="3" t="str">
        <f>"FES1162742643"</f>
        <v>FES1162742643</v>
      </c>
      <c r="C2550" s="3" t="s">
        <v>1845</v>
      </c>
      <c r="D2550" s="3">
        <v>1</v>
      </c>
      <c r="E2550" s="3" t="str">
        <f>"2170734077"</f>
        <v>2170734077</v>
      </c>
      <c r="F2550" s="3" t="s">
        <v>17</v>
      </c>
      <c r="G2550" s="3" t="s">
        <v>18</v>
      </c>
      <c r="H2550" s="3" t="s">
        <v>46</v>
      </c>
      <c r="I2550" s="3" t="s">
        <v>47</v>
      </c>
      <c r="J2550" s="3" t="s">
        <v>351</v>
      </c>
      <c r="K2550" s="3" t="s">
        <v>1966</v>
      </c>
      <c r="L2550" s="4">
        <v>0.37083333333333335</v>
      </c>
      <c r="M2550" s="3" t="s">
        <v>2011</v>
      </c>
      <c r="N2550" s="3" t="s">
        <v>24</v>
      </c>
      <c r="O2550" s="3" t="s">
        <v>25</v>
      </c>
    </row>
    <row r="2551" spans="1:15">
      <c r="A2551" s="3" t="s">
        <v>15</v>
      </c>
      <c r="B2551" s="3" t="str">
        <f>"FES1162742714"</f>
        <v>FES1162742714</v>
      </c>
      <c r="C2551" s="3" t="s">
        <v>1845</v>
      </c>
      <c r="D2551" s="3">
        <v>1</v>
      </c>
      <c r="E2551" s="3" t="str">
        <f>"2170732185"</f>
        <v>2170732185</v>
      </c>
      <c r="F2551" s="3" t="s">
        <v>17</v>
      </c>
      <c r="G2551" s="3" t="s">
        <v>18</v>
      </c>
      <c r="H2551" s="3" t="s">
        <v>18</v>
      </c>
      <c r="I2551" s="3" t="s">
        <v>206</v>
      </c>
      <c r="J2551" s="3" t="s">
        <v>207</v>
      </c>
      <c r="K2551" s="3" t="s">
        <v>1949</v>
      </c>
      <c r="L2551" s="4">
        <v>0.43194444444444446</v>
      </c>
      <c r="M2551" s="3" t="s">
        <v>867</v>
      </c>
      <c r="N2551" s="3" t="s">
        <v>24</v>
      </c>
      <c r="O2551" s="3" t="s">
        <v>25</v>
      </c>
    </row>
    <row r="2552" spans="1:15">
      <c r="A2552" s="3" t="s">
        <v>15</v>
      </c>
      <c r="B2552" s="3" t="str">
        <f>"FES1162742618"</f>
        <v>FES1162742618</v>
      </c>
      <c r="C2552" s="3" t="s">
        <v>1845</v>
      </c>
      <c r="D2552" s="3">
        <v>1</v>
      </c>
      <c r="E2552" s="3" t="str">
        <f>"217073263"</f>
        <v>217073263</v>
      </c>
      <c r="F2552" s="3" t="s">
        <v>17</v>
      </c>
      <c r="G2552" s="3" t="s">
        <v>18</v>
      </c>
      <c r="H2552" s="3" t="s">
        <v>66</v>
      </c>
      <c r="I2552" s="3" t="s">
        <v>67</v>
      </c>
      <c r="J2552" s="3" t="s">
        <v>298</v>
      </c>
      <c r="K2552" s="3" t="s">
        <v>1949</v>
      </c>
      <c r="L2552" s="4">
        <v>0.36805555555555558</v>
      </c>
      <c r="M2552" s="3" t="s">
        <v>299</v>
      </c>
      <c r="N2552" s="3" t="s">
        <v>24</v>
      </c>
      <c r="O2552" s="3" t="s">
        <v>25</v>
      </c>
    </row>
    <row r="2553" spans="1:15">
      <c r="A2553" s="3" t="s">
        <v>15</v>
      </c>
      <c r="B2553" s="3" t="str">
        <f>"FES1162742680"</f>
        <v>FES1162742680</v>
      </c>
      <c r="C2553" s="3" t="s">
        <v>1845</v>
      </c>
      <c r="D2553" s="3">
        <v>1</v>
      </c>
      <c r="E2553" s="3" t="str">
        <f>"2170734115"</f>
        <v>2170734115</v>
      </c>
      <c r="F2553" s="3" t="s">
        <v>17</v>
      </c>
      <c r="G2553" s="3" t="s">
        <v>18</v>
      </c>
      <c r="H2553" s="3" t="s">
        <v>18</v>
      </c>
      <c r="I2553" s="3" t="s">
        <v>151</v>
      </c>
      <c r="J2553" s="3" t="s">
        <v>322</v>
      </c>
      <c r="K2553" s="3" t="s">
        <v>1949</v>
      </c>
      <c r="L2553" s="4">
        <v>0.33333333333333331</v>
      </c>
      <c r="M2553" s="3" t="s">
        <v>160</v>
      </c>
      <c r="N2553" s="3" t="s">
        <v>24</v>
      </c>
      <c r="O2553" s="3" t="s">
        <v>25</v>
      </c>
    </row>
    <row r="2554" spans="1:15">
      <c r="A2554" s="3" t="s">
        <v>15</v>
      </c>
      <c r="B2554" s="3" t="str">
        <f>"FES1162742547"</f>
        <v>FES1162742547</v>
      </c>
      <c r="C2554" s="3" t="s">
        <v>1845</v>
      </c>
      <c r="D2554" s="3">
        <v>1</v>
      </c>
      <c r="E2554" s="3" t="str">
        <f>"2170728058"</f>
        <v>2170728058</v>
      </c>
      <c r="F2554" s="3" t="s">
        <v>17</v>
      </c>
      <c r="G2554" s="3" t="s">
        <v>18</v>
      </c>
      <c r="H2554" s="3" t="s">
        <v>36</v>
      </c>
      <c r="I2554" s="3" t="s">
        <v>37</v>
      </c>
      <c r="J2554" s="3" t="s">
        <v>187</v>
      </c>
      <c r="K2554" s="3" t="s">
        <v>1949</v>
      </c>
      <c r="L2554" s="4">
        <v>0.49305555555555558</v>
      </c>
      <c r="M2554" s="3" t="s">
        <v>188</v>
      </c>
      <c r="N2554" s="3" t="s">
        <v>24</v>
      </c>
      <c r="O2554" s="3" t="s">
        <v>25</v>
      </c>
    </row>
    <row r="2555" spans="1:15">
      <c r="A2555" s="3" t="s">
        <v>15</v>
      </c>
      <c r="B2555" s="3" t="str">
        <f>"FES1162742605"</f>
        <v>FES1162742605</v>
      </c>
      <c r="C2555" s="3" t="s">
        <v>1845</v>
      </c>
      <c r="D2555" s="3">
        <v>1</v>
      </c>
      <c r="E2555" s="3" t="str">
        <f>"2170732185"</f>
        <v>2170732185</v>
      </c>
      <c r="F2555" s="3" t="s">
        <v>17</v>
      </c>
      <c r="G2555" s="3" t="s">
        <v>18</v>
      </c>
      <c r="H2555" s="3" t="s">
        <v>18</v>
      </c>
      <c r="I2555" s="3" t="s">
        <v>206</v>
      </c>
      <c r="J2555" s="3" t="s">
        <v>207</v>
      </c>
      <c r="K2555" s="3" t="s">
        <v>1949</v>
      </c>
      <c r="L2555" s="4">
        <v>0.33333333333333331</v>
      </c>
      <c r="M2555" s="3" t="s">
        <v>2012</v>
      </c>
      <c r="N2555" s="3" t="s">
        <v>24</v>
      </c>
      <c r="O2555" s="3" t="s">
        <v>25</v>
      </c>
    </row>
    <row r="2556" spans="1:15">
      <c r="A2556" s="3" t="s">
        <v>15</v>
      </c>
      <c r="B2556" s="3" t="str">
        <f>"FES1162742631"</f>
        <v>FES1162742631</v>
      </c>
      <c r="C2556" s="3" t="s">
        <v>1845</v>
      </c>
      <c r="D2556" s="3">
        <v>2</v>
      </c>
      <c r="E2556" s="3" t="str">
        <f>"2170734058"</f>
        <v>2170734058</v>
      </c>
      <c r="F2556" s="3" t="s">
        <v>17</v>
      </c>
      <c r="G2556" s="3" t="s">
        <v>18</v>
      </c>
      <c r="H2556" s="3" t="s">
        <v>19</v>
      </c>
      <c r="I2556" s="3" t="s">
        <v>86</v>
      </c>
      <c r="J2556" s="3" t="s">
        <v>87</v>
      </c>
      <c r="K2556" s="3" t="s">
        <v>1949</v>
      </c>
      <c r="L2556" s="4">
        <v>0.5444444444444444</v>
      </c>
      <c r="M2556" s="3" t="s">
        <v>268</v>
      </c>
      <c r="N2556" s="3" t="s">
        <v>24</v>
      </c>
      <c r="O2556" s="3" t="s">
        <v>25</v>
      </c>
    </row>
    <row r="2557" spans="1:15">
      <c r="A2557" s="3" t="s">
        <v>15</v>
      </c>
      <c r="B2557" s="3" t="str">
        <f>"FES1162742740"</f>
        <v>FES1162742740</v>
      </c>
      <c r="C2557" s="3" t="s">
        <v>1845</v>
      </c>
      <c r="D2557" s="3">
        <v>1</v>
      </c>
      <c r="E2557" s="3" t="str">
        <f>"2170734052"</f>
        <v>2170734052</v>
      </c>
      <c r="F2557" s="3" t="s">
        <v>17</v>
      </c>
      <c r="G2557" s="3" t="s">
        <v>18</v>
      </c>
      <c r="H2557" s="3" t="s">
        <v>18</v>
      </c>
      <c r="I2557" s="3" t="s">
        <v>171</v>
      </c>
      <c r="J2557" s="3" t="s">
        <v>1599</v>
      </c>
      <c r="K2557" s="3" t="s">
        <v>1949</v>
      </c>
      <c r="L2557" s="4">
        <v>0.36874999999999997</v>
      </c>
      <c r="M2557" s="3" t="s">
        <v>1821</v>
      </c>
      <c r="N2557" s="3" t="s">
        <v>24</v>
      </c>
      <c r="O2557" s="3" t="s">
        <v>25</v>
      </c>
    </row>
    <row r="2558" spans="1:15">
      <c r="A2558" s="3" t="s">
        <v>15</v>
      </c>
      <c r="B2558" s="3" t="str">
        <f>"FES1162742559"</f>
        <v>FES1162742559</v>
      </c>
      <c r="C2558" s="3" t="s">
        <v>1845</v>
      </c>
      <c r="D2558" s="3">
        <v>1</v>
      </c>
      <c r="E2558" s="3" t="str">
        <f>"2170731608"</f>
        <v>2170731608</v>
      </c>
      <c r="F2558" s="3" t="s">
        <v>17</v>
      </c>
      <c r="G2558" s="3" t="s">
        <v>18</v>
      </c>
      <c r="H2558" s="3" t="s">
        <v>46</v>
      </c>
      <c r="I2558" s="3" t="s">
        <v>47</v>
      </c>
      <c r="J2558" s="3" t="s">
        <v>677</v>
      </c>
      <c r="K2558" s="3" t="s">
        <v>1949</v>
      </c>
      <c r="L2558" s="4">
        <v>0.36874999999999997</v>
      </c>
      <c r="M2558" s="3" t="s">
        <v>1989</v>
      </c>
      <c r="N2558" s="3" t="s">
        <v>24</v>
      </c>
      <c r="O2558" s="3" t="s">
        <v>25</v>
      </c>
    </row>
    <row r="2559" spans="1:15">
      <c r="A2559" s="3" t="s">
        <v>15</v>
      </c>
      <c r="B2559" s="3" t="str">
        <f>"FES1162742699"</f>
        <v>FES1162742699</v>
      </c>
      <c r="C2559" s="3" t="s">
        <v>1845</v>
      </c>
      <c r="D2559" s="3">
        <v>1</v>
      </c>
      <c r="E2559" s="3" t="str">
        <f>"2170731582"</f>
        <v>2170731582</v>
      </c>
      <c r="F2559" s="3" t="s">
        <v>17</v>
      </c>
      <c r="G2559" s="3" t="s">
        <v>18</v>
      </c>
      <c r="H2559" s="3" t="s">
        <v>100</v>
      </c>
      <c r="I2559" s="3" t="s">
        <v>101</v>
      </c>
      <c r="J2559" s="3" t="s">
        <v>131</v>
      </c>
      <c r="K2559" s="3" t="s">
        <v>1949</v>
      </c>
      <c r="L2559" s="4">
        <v>0.35625000000000001</v>
      </c>
      <c r="M2559" s="3" t="s">
        <v>132</v>
      </c>
      <c r="N2559" s="3" t="s">
        <v>24</v>
      </c>
      <c r="O2559" s="3" t="s">
        <v>25</v>
      </c>
    </row>
    <row r="2560" spans="1:15">
      <c r="A2560" s="3" t="s">
        <v>15</v>
      </c>
      <c r="B2560" s="3" t="str">
        <f>"FES1162742686"</f>
        <v>FES1162742686</v>
      </c>
      <c r="C2560" s="3" t="s">
        <v>1845</v>
      </c>
      <c r="D2560" s="3">
        <v>1</v>
      </c>
      <c r="E2560" s="3" t="str">
        <f>"2170732622"</f>
        <v>2170732622</v>
      </c>
      <c r="F2560" s="3" t="s">
        <v>17</v>
      </c>
      <c r="G2560" s="3" t="s">
        <v>18</v>
      </c>
      <c r="H2560" s="3" t="s">
        <v>100</v>
      </c>
      <c r="I2560" s="3" t="s">
        <v>101</v>
      </c>
      <c r="J2560" s="3" t="s">
        <v>296</v>
      </c>
      <c r="K2560" s="3" t="s">
        <v>1949</v>
      </c>
      <c r="L2560" s="4">
        <v>0.36874999999999997</v>
      </c>
      <c r="M2560" s="3" t="s">
        <v>901</v>
      </c>
      <c r="N2560" s="3" t="s">
        <v>24</v>
      </c>
      <c r="O2560" s="3" t="s">
        <v>25</v>
      </c>
    </row>
    <row r="2561" spans="1:15">
      <c r="A2561" s="5" t="s">
        <v>15</v>
      </c>
      <c r="B2561" s="5" t="str">
        <f>"FES1162742792"</f>
        <v>FES1162742792</v>
      </c>
      <c r="C2561" s="5" t="s">
        <v>1845</v>
      </c>
      <c r="D2561" s="5">
        <v>1</v>
      </c>
      <c r="E2561" s="5" t="str">
        <f>"2170734179"</f>
        <v>2170734179</v>
      </c>
      <c r="F2561" s="5" t="s">
        <v>17</v>
      </c>
      <c r="G2561" s="5" t="s">
        <v>18</v>
      </c>
      <c r="H2561" s="5" t="s">
        <v>19</v>
      </c>
      <c r="I2561" s="5" t="s">
        <v>20</v>
      </c>
      <c r="J2561" s="5" t="s">
        <v>2013</v>
      </c>
      <c r="K2561" s="5" t="s">
        <v>1949</v>
      </c>
      <c r="L2561" s="6">
        <v>0.36458333333333331</v>
      </c>
      <c r="M2561" s="5" t="s">
        <v>2014</v>
      </c>
      <c r="N2561" s="5" t="s">
        <v>24</v>
      </c>
      <c r="O2561" s="5" t="s">
        <v>25</v>
      </c>
    </row>
    <row r="2562" spans="1:15">
      <c r="A2562" s="5" t="s">
        <v>15</v>
      </c>
      <c r="B2562" s="5" t="str">
        <f>"FES1162742659"</f>
        <v>FES1162742659</v>
      </c>
      <c r="C2562" s="5" t="s">
        <v>1845</v>
      </c>
      <c r="D2562" s="5">
        <v>1</v>
      </c>
      <c r="E2562" s="5" t="str">
        <f>"2170734092"</f>
        <v>2170734092</v>
      </c>
      <c r="F2562" s="5" t="s">
        <v>17</v>
      </c>
      <c r="G2562" s="5" t="s">
        <v>18</v>
      </c>
      <c r="H2562" s="5" t="s">
        <v>66</v>
      </c>
      <c r="I2562" s="5" t="s">
        <v>67</v>
      </c>
      <c r="J2562" s="5" t="s">
        <v>927</v>
      </c>
      <c r="K2562" s="5" t="s">
        <v>1949</v>
      </c>
      <c r="L2562" s="6">
        <v>0.4201388888888889</v>
      </c>
      <c r="M2562" s="5" t="s">
        <v>2015</v>
      </c>
      <c r="N2562" s="5" t="s">
        <v>24</v>
      </c>
      <c r="O2562" s="5" t="s">
        <v>25</v>
      </c>
    </row>
    <row r="2563" spans="1:15">
      <c r="A2563" s="5" t="s">
        <v>15</v>
      </c>
      <c r="B2563" s="5" t="str">
        <f>"FES1162742636"</f>
        <v>FES1162742636</v>
      </c>
      <c r="C2563" s="5" t="s">
        <v>1845</v>
      </c>
      <c r="D2563" s="5">
        <v>1</v>
      </c>
      <c r="E2563" s="5" t="str">
        <f>"2170734067"</f>
        <v>2170734067</v>
      </c>
      <c r="F2563" s="5" t="s">
        <v>17</v>
      </c>
      <c r="G2563" s="5" t="s">
        <v>18</v>
      </c>
      <c r="H2563" s="5" t="s">
        <v>66</v>
      </c>
      <c r="I2563" s="5" t="s">
        <v>67</v>
      </c>
      <c r="J2563" s="5" t="s">
        <v>1347</v>
      </c>
      <c r="K2563" s="5" t="s">
        <v>1949</v>
      </c>
      <c r="L2563" s="6">
        <v>0.43263888888888885</v>
      </c>
      <c r="M2563" s="5" t="s">
        <v>1973</v>
      </c>
      <c r="N2563" s="5" t="s">
        <v>24</v>
      </c>
      <c r="O2563" s="5" t="s">
        <v>25</v>
      </c>
    </row>
    <row r="2564" spans="1:15">
      <c r="A2564" s="5" t="s">
        <v>15</v>
      </c>
      <c r="B2564" s="5" t="str">
        <f>"FES1162742647"</f>
        <v>FES1162742647</v>
      </c>
      <c r="C2564" s="5" t="s">
        <v>1845</v>
      </c>
      <c r="D2564" s="5">
        <v>1</v>
      </c>
      <c r="E2564" s="5" t="str">
        <f>"2170734052"</f>
        <v>2170734052</v>
      </c>
      <c r="F2564" s="5" t="s">
        <v>17</v>
      </c>
      <c r="G2564" s="5" t="s">
        <v>18</v>
      </c>
      <c r="H2564" s="5" t="s">
        <v>18</v>
      </c>
      <c r="I2564" s="5" t="s">
        <v>171</v>
      </c>
      <c r="J2564" s="5" t="s">
        <v>1599</v>
      </c>
      <c r="K2564" s="5" t="s">
        <v>1949</v>
      </c>
      <c r="L2564" s="6">
        <v>0.36874999999999997</v>
      </c>
      <c r="M2564" s="5" t="s">
        <v>1821</v>
      </c>
      <c r="N2564" s="5" t="s">
        <v>24</v>
      </c>
      <c r="O2564" s="5" t="s">
        <v>25</v>
      </c>
    </row>
    <row r="2565" spans="1:15">
      <c r="A2565" s="5" t="s">
        <v>15</v>
      </c>
      <c r="B2565" s="5" t="str">
        <f>"FES1162742794"</f>
        <v>FES1162742794</v>
      </c>
      <c r="C2565" s="5" t="s">
        <v>1845</v>
      </c>
      <c r="D2565" s="5">
        <v>1</v>
      </c>
      <c r="E2565" s="5" t="str">
        <f>"2170734178"</f>
        <v>2170734178</v>
      </c>
      <c r="F2565" s="5" t="s">
        <v>17</v>
      </c>
      <c r="G2565" s="5" t="s">
        <v>18</v>
      </c>
      <c r="H2565" s="5" t="s">
        <v>19</v>
      </c>
      <c r="I2565" s="5" t="s">
        <v>1693</v>
      </c>
      <c r="J2565" s="5" t="s">
        <v>2016</v>
      </c>
      <c r="K2565" s="5" t="s">
        <v>1949</v>
      </c>
      <c r="L2565" s="6">
        <v>0.36874999999999997</v>
      </c>
      <c r="M2565" s="5" t="s">
        <v>603</v>
      </c>
      <c r="N2565" s="5" t="s">
        <v>24</v>
      </c>
      <c r="O2565" s="5" t="s">
        <v>2017</v>
      </c>
    </row>
    <row r="2566" spans="1:15">
      <c r="A2566" s="5" t="s">
        <v>15</v>
      </c>
      <c r="B2566" s="5" t="str">
        <f>"FES1162742592"</f>
        <v>FES1162742592</v>
      </c>
      <c r="C2566" s="5" t="s">
        <v>1845</v>
      </c>
      <c r="D2566" s="5">
        <v>1</v>
      </c>
      <c r="E2566" s="5" t="str">
        <f>"2170731986"</f>
        <v>2170731986</v>
      </c>
      <c r="F2566" s="5" t="s">
        <v>17</v>
      </c>
      <c r="G2566" s="5" t="s">
        <v>18</v>
      </c>
      <c r="H2566" s="5" t="s">
        <v>18</v>
      </c>
      <c r="I2566" s="5" t="s">
        <v>33</v>
      </c>
      <c r="J2566" s="5" t="s">
        <v>2018</v>
      </c>
      <c r="K2566" s="5" t="s">
        <v>1949</v>
      </c>
      <c r="L2566" s="6">
        <v>0.35138888888888892</v>
      </c>
      <c r="M2566" s="5" t="s">
        <v>2019</v>
      </c>
      <c r="N2566" s="5" t="s">
        <v>24</v>
      </c>
      <c r="O2566" s="5" t="s">
        <v>25</v>
      </c>
    </row>
    <row r="2567" spans="1:15">
      <c r="A2567" s="5" t="s">
        <v>15</v>
      </c>
      <c r="B2567" s="5" t="str">
        <f>"FES1162742593"</f>
        <v>FES1162742593</v>
      </c>
      <c r="C2567" s="5" t="s">
        <v>1845</v>
      </c>
      <c r="D2567" s="5">
        <v>1</v>
      </c>
      <c r="E2567" s="5" t="str">
        <f>"2170732001"</f>
        <v>2170732001</v>
      </c>
      <c r="F2567" s="5" t="s">
        <v>17</v>
      </c>
      <c r="G2567" s="5" t="s">
        <v>18</v>
      </c>
      <c r="H2567" s="5" t="s">
        <v>66</v>
      </c>
      <c r="I2567" s="5" t="s">
        <v>67</v>
      </c>
      <c r="J2567" s="5" t="s">
        <v>485</v>
      </c>
      <c r="K2567" s="5" t="s">
        <v>1949</v>
      </c>
      <c r="L2567" s="6">
        <v>0.3923611111111111</v>
      </c>
      <c r="M2567" s="5" t="s">
        <v>2020</v>
      </c>
      <c r="N2567" s="5" t="s">
        <v>24</v>
      </c>
      <c r="O2567" s="5" t="s">
        <v>25</v>
      </c>
    </row>
    <row r="2568" spans="1:15">
      <c r="A2568" s="5" t="s">
        <v>15</v>
      </c>
      <c r="B2568" s="5" t="str">
        <f>"FES1162742776"</f>
        <v>FES1162742776</v>
      </c>
      <c r="C2568" s="5" t="s">
        <v>1845</v>
      </c>
      <c r="D2568" s="5">
        <v>1</v>
      </c>
      <c r="E2568" s="5" t="str">
        <f>"2170734162"</f>
        <v>2170734162</v>
      </c>
      <c r="F2568" s="5" t="s">
        <v>17</v>
      </c>
      <c r="G2568" s="5" t="s">
        <v>18</v>
      </c>
      <c r="H2568" s="5" t="s">
        <v>100</v>
      </c>
      <c r="I2568" s="5" t="s">
        <v>144</v>
      </c>
      <c r="J2568" s="5" t="s">
        <v>378</v>
      </c>
      <c r="K2568" s="5" t="s">
        <v>1949</v>
      </c>
      <c r="L2568" s="6">
        <v>0.3743055555555555</v>
      </c>
      <c r="M2568" s="5" t="s">
        <v>2021</v>
      </c>
      <c r="N2568" s="5" t="s">
        <v>24</v>
      </c>
      <c r="O2568" s="5" t="s">
        <v>25</v>
      </c>
    </row>
    <row r="2569" spans="1:15">
      <c r="A2569" s="5" t="s">
        <v>15</v>
      </c>
      <c r="B2569" s="5" t="str">
        <f>"FES1162742721"</f>
        <v>FES1162742721</v>
      </c>
      <c r="C2569" s="5" t="s">
        <v>1845</v>
      </c>
      <c r="D2569" s="5">
        <v>1</v>
      </c>
      <c r="E2569" s="5" t="str">
        <f>"2170732754"</f>
        <v>2170732754</v>
      </c>
      <c r="F2569" s="5" t="s">
        <v>17</v>
      </c>
      <c r="G2569" s="5" t="s">
        <v>18</v>
      </c>
      <c r="H2569" s="5" t="s">
        <v>66</v>
      </c>
      <c r="I2569" s="5" t="s">
        <v>158</v>
      </c>
      <c r="J2569" s="5" t="s">
        <v>159</v>
      </c>
      <c r="K2569" s="5" t="s">
        <v>1949</v>
      </c>
      <c r="L2569" s="6">
        <v>0.3743055555555555</v>
      </c>
      <c r="M2569" s="5" t="s">
        <v>2022</v>
      </c>
      <c r="N2569" s="5" t="s">
        <v>24</v>
      </c>
      <c r="O2569" s="5" t="s">
        <v>25</v>
      </c>
    </row>
    <row r="2570" spans="1:15">
      <c r="A2570" s="5" t="s">
        <v>15</v>
      </c>
      <c r="B2570" s="5" t="str">
        <f>"FES1162742768"</f>
        <v>FES1162742768</v>
      </c>
      <c r="C2570" s="5" t="s">
        <v>1845</v>
      </c>
      <c r="D2570" s="5">
        <v>1</v>
      </c>
      <c r="E2570" s="5" t="str">
        <f>"2170734155"</f>
        <v>2170734155</v>
      </c>
      <c r="F2570" s="5" t="s">
        <v>17</v>
      </c>
      <c r="G2570" s="5" t="s">
        <v>18</v>
      </c>
      <c r="H2570" s="5" t="s">
        <v>100</v>
      </c>
      <c r="I2570" s="5" t="s">
        <v>101</v>
      </c>
      <c r="J2570" s="5" t="s">
        <v>223</v>
      </c>
      <c r="K2570" s="5" t="s">
        <v>1949</v>
      </c>
      <c r="L2570" s="6">
        <v>0.37361111111111112</v>
      </c>
      <c r="M2570" s="5" t="s">
        <v>1991</v>
      </c>
      <c r="N2570" s="5" t="s">
        <v>24</v>
      </c>
      <c r="O2570" s="5" t="s">
        <v>25</v>
      </c>
    </row>
    <row r="2571" spans="1:15">
      <c r="A2571" s="5" t="s">
        <v>15</v>
      </c>
      <c r="B2571" s="5" t="str">
        <f>"FES1162742553"</f>
        <v>FES1162742553</v>
      </c>
      <c r="C2571" s="5" t="s">
        <v>1845</v>
      </c>
      <c r="D2571" s="5">
        <v>1</v>
      </c>
      <c r="E2571" s="5" t="str">
        <f>"2170731429"</f>
        <v>2170731429</v>
      </c>
      <c r="F2571" s="5" t="s">
        <v>17</v>
      </c>
      <c r="G2571" s="5" t="s">
        <v>18</v>
      </c>
      <c r="H2571" s="5" t="s">
        <v>18</v>
      </c>
      <c r="I2571" s="5" t="s">
        <v>206</v>
      </c>
      <c r="J2571" s="5" t="s">
        <v>399</v>
      </c>
      <c r="K2571" s="5" t="s">
        <v>1949</v>
      </c>
      <c r="L2571" s="6">
        <v>0.33333333333333331</v>
      </c>
      <c r="M2571" s="5" t="s">
        <v>2010</v>
      </c>
      <c r="N2571" s="5" t="s">
        <v>24</v>
      </c>
      <c r="O2571" s="5" t="s">
        <v>25</v>
      </c>
    </row>
    <row r="2572" spans="1:15">
      <c r="A2572" s="3" t="s">
        <v>15</v>
      </c>
      <c r="B2572" s="3" t="str">
        <f>"FES1162742763"</f>
        <v>FES1162742763</v>
      </c>
      <c r="C2572" s="3" t="s">
        <v>1845</v>
      </c>
      <c r="D2572" s="3">
        <v>1</v>
      </c>
      <c r="E2572" s="3" t="str">
        <f>"2170734145"</f>
        <v>2170734145</v>
      </c>
      <c r="F2572" s="3" t="s">
        <v>17</v>
      </c>
      <c r="G2572" s="3" t="s">
        <v>18</v>
      </c>
      <c r="H2572" s="3" t="s">
        <v>534</v>
      </c>
      <c r="I2572" s="3" t="s">
        <v>596</v>
      </c>
      <c r="J2572" s="3" t="s">
        <v>1079</v>
      </c>
      <c r="K2572" s="3" t="s">
        <v>1949</v>
      </c>
      <c r="L2572" s="4">
        <v>0.375</v>
      </c>
      <c r="M2572" s="3" t="s">
        <v>1080</v>
      </c>
      <c r="N2572" s="3" t="s">
        <v>24</v>
      </c>
      <c r="O2572" s="3" t="s">
        <v>25</v>
      </c>
    </row>
    <row r="2573" spans="1:15">
      <c r="A2573" s="3" t="s">
        <v>15</v>
      </c>
      <c r="B2573" s="3" t="str">
        <f>"FES1162742624"</f>
        <v>FES1162742624</v>
      </c>
      <c r="C2573" s="3" t="s">
        <v>1845</v>
      </c>
      <c r="D2573" s="3">
        <v>1</v>
      </c>
      <c r="E2573" s="3" t="str">
        <f>"2170733201"</f>
        <v>2170733201</v>
      </c>
      <c r="F2573" s="3" t="s">
        <v>17</v>
      </c>
      <c r="G2573" s="3" t="s">
        <v>18</v>
      </c>
      <c r="H2573" s="3" t="s">
        <v>18</v>
      </c>
      <c r="I2573" s="3" t="s">
        <v>168</v>
      </c>
      <c r="J2573" s="3" t="s">
        <v>1177</v>
      </c>
      <c r="K2573" s="3" t="s">
        <v>1949</v>
      </c>
      <c r="L2573" s="4">
        <v>0.41666666666666669</v>
      </c>
      <c r="M2573" s="3" t="s">
        <v>1958</v>
      </c>
      <c r="N2573" s="3" t="s">
        <v>24</v>
      </c>
      <c r="O2573" s="3" t="s">
        <v>25</v>
      </c>
    </row>
    <row r="2574" spans="1:15">
      <c r="A2574" s="3" t="s">
        <v>15</v>
      </c>
      <c r="B2574" s="3" t="str">
        <f>"FES1162742671"</f>
        <v>FES1162742671</v>
      </c>
      <c r="C2574" s="3" t="s">
        <v>1845</v>
      </c>
      <c r="D2574" s="3">
        <v>1</v>
      </c>
      <c r="E2574" s="3" t="str">
        <f>"2170734106"</f>
        <v>2170734106</v>
      </c>
      <c r="F2574" s="3" t="s">
        <v>17</v>
      </c>
      <c r="G2574" s="3" t="s">
        <v>948</v>
      </c>
      <c r="H2574" s="3" t="s">
        <v>948</v>
      </c>
      <c r="I2574" s="3" t="s">
        <v>341</v>
      </c>
      <c r="J2574" s="3" t="s">
        <v>2023</v>
      </c>
      <c r="K2574" s="3" t="s">
        <v>1949</v>
      </c>
      <c r="L2574" s="4">
        <v>0.41666666666666669</v>
      </c>
      <c r="M2574" s="3" t="s">
        <v>2024</v>
      </c>
      <c r="N2574" s="3" t="s">
        <v>24</v>
      </c>
      <c r="O2574" s="3" t="s">
        <v>25</v>
      </c>
    </row>
    <row r="2575" spans="1:15">
      <c r="A2575" s="3" t="s">
        <v>15</v>
      </c>
      <c r="B2575" s="3" t="str">
        <f>"FES1162742759"</f>
        <v>FES1162742759</v>
      </c>
      <c r="C2575" s="3" t="s">
        <v>1845</v>
      </c>
      <c r="D2575" s="3">
        <v>1</v>
      </c>
      <c r="E2575" s="3" t="str">
        <f>"2170734141"</f>
        <v>2170734141</v>
      </c>
      <c r="F2575" s="3" t="s">
        <v>17</v>
      </c>
      <c r="G2575" s="3" t="s">
        <v>18</v>
      </c>
      <c r="H2575" s="3" t="s">
        <v>100</v>
      </c>
      <c r="I2575" s="3" t="s">
        <v>101</v>
      </c>
      <c r="J2575" s="3" t="s">
        <v>137</v>
      </c>
      <c r="K2575" s="3" t="s">
        <v>1949</v>
      </c>
      <c r="L2575" s="4">
        <v>0.43402777777777773</v>
      </c>
      <c r="M2575" s="3" t="s">
        <v>2025</v>
      </c>
      <c r="N2575" s="3" t="s">
        <v>24</v>
      </c>
      <c r="O2575" s="3" t="s">
        <v>25</v>
      </c>
    </row>
    <row r="2576" spans="1:15">
      <c r="A2576" s="3" t="s">
        <v>15</v>
      </c>
      <c r="B2576" s="3" t="str">
        <f>"FES1162742571"</f>
        <v>FES1162742571</v>
      </c>
      <c r="C2576" s="3" t="s">
        <v>1845</v>
      </c>
      <c r="D2576" s="3">
        <v>1</v>
      </c>
      <c r="E2576" s="3" t="str">
        <f>"2170731706"</f>
        <v>2170731706</v>
      </c>
      <c r="F2576" s="3" t="s">
        <v>17</v>
      </c>
      <c r="G2576" s="3" t="s">
        <v>18</v>
      </c>
      <c r="H2576" s="3" t="s">
        <v>18</v>
      </c>
      <c r="I2576" s="3" t="s">
        <v>168</v>
      </c>
      <c r="J2576" s="3" t="s">
        <v>2026</v>
      </c>
      <c r="K2576" s="3" t="s">
        <v>1949</v>
      </c>
      <c r="L2576" s="4">
        <v>0.32847222222222222</v>
      </c>
      <c r="M2576" s="3" t="s">
        <v>2027</v>
      </c>
      <c r="N2576" s="3" t="s">
        <v>24</v>
      </c>
      <c r="O2576" s="3" t="s">
        <v>25</v>
      </c>
    </row>
    <row r="2577" spans="1:15">
      <c r="A2577" s="3" t="s">
        <v>15</v>
      </c>
      <c r="B2577" s="3" t="str">
        <f>"FES1162742615"</f>
        <v>FES1162742615</v>
      </c>
      <c r="C2577" s="3" t="s">
        <v>1845</v>
      </c>
      <c r="D2577" s="3">
        <v>1</v>
      </c>
      <c r="E2577" s="3" t="str">
        <f>"2170732311"</f>
        <v>2170732311</v>
      </c>
      <c r="F2577" s="3" t="s">
        <v>17</v>
      </c>
      <c r="G2577" s="3" t="s">
        <v>18</v>
      </c>
      <c r="H2577" s="3" t="s">
        <v>70</v>
      </c>
      <c r="I2577" s="3" t="s">
        <v>71</v>
      </c>
      <c r="J2577" s="3" t="s">
        <v>252</v>
      </c>
      <c r="K2577" s="3" t="s">
        <v>1949</v>
      </c>
      <c r="L2577" s="4">
        <v>0.3576388888888889</v>
      </c>
      <c r="M2577" s="3" t="s">
        <v>394</v>
      </c>
      <c r="N2577" s="3" t="s">
        <v>24</v>
      </c>
      <c r="O2577" s="3" t="s">
        <v>25</v>
      </c>
    </row>
    <row r="2578" spans="1:15">
      <c r="A2578" s="3" t="s">
        <v>15</v>
      </c>
      <c r="B2578" s="3" t="str">
        <f>"FES1162742640"</f>
        <v>FES1162742640</v>
      </c>
      <c r="C2578" s="3" t="s">
        <v>1845</v>
      </c>
      <c r="D2578" s="3">
        <v>1</v>
      </c>
      <c r="E2578" s="3" t="str">
        <f>"2170734073"</f>
        <v>2170734073</v>
      </c>
      <c r="F2578" s="3" t="s">
        <v>17</v>
      </c>
      <c r="G2578" s="3" t="s">
        <v>18</v>
      </c>
      <c r="H2578" s="3" t="s">
        <v>100</v>
      </c>
      <c r="I2578" s="3" t="s">
        <v>262</v>
      </c>
      <c r="J2578" s="3" t="s">
        <v>409</v>
      </c>
      <c r="K2578" s="3" t="s">
        <v>1949</v>
      </c>
      <c r="L2578" s="4">
        <v>0.3576388888888889</v>
      </c>
      <c r="M2578" s="3" t="s">
        <v>1822</v>
      </c>
      <c r="N2578" s="3" t="s">
        <v>24</v>
      </c>
      <c r="O2578" s="3" t="s">
        <v>25</v>
      </c>
    </row>
    <row r="2579" spans="1:15">
      <c r="A2579" s="3" t="s">
        <v>15</v>
      </c>
      <c r="B2579" s="3" t="str">
        <f>"FES1162742690"</f>
        <v>FES1162742690</v>
      </c>
      <c r="C2579" s="3" t="s">
        <v>1845</v>
      </c>
      <c r="D2579" s="3">
        <v>1</v>
      </c>
      <c r="E2579" s="3" t="str">
        <f>"2170730072"</f>
        <v>2170730072</v>
      </c>
      <c r="F2579" s="3" t="s">
        <v>17</v>
      </c>
      <c r="G2579" s="3" t="s">
        <v>18</v>
      </c>
      <c r="H2579" s="3" t="s">
        <v>36</v>
      </c>
      <c r="I2579" s="3" t="s">
        <v>174</v>
      </c>
      <c r="J2579" s="3" t="s">
        <v>175</v>
      </c>
      <c r="K2579" s="3" t="s">
        <v>1949</v>
      </c>
      <c r="L2579" s="4">
        <v>0.54791666666666672</v>
      </c>
      <c r="M2579" s="3" t="s">
        <v>2028</v>
      </c>
      <c r="N2579" s="3" t="s">
        <v>24</v>
      </c>
      <c r="O2579" s="3" t="s">
        <v>25</v>
      </c>
    </row>
    <row r="2580" spans="1:15">
      <c r="A2580" s="3" t="s">
        <v>15</v>
      </c>
      <c r="B2580" s="3" t="str">
        <f>"FES1162742685"</f>
        <v>FES1162742685</v>
      </c>
      <c r="C2580" s="3" t="s">
        <v>1845</v>
      </c>
      <c r="D2580" s="3">
        <v>1</v>
      </c>
      <c r="E2580" s="3" t="str">
        <f>"2170728948"</f>
        <v>2170728948</v>
      </c>
      <c r="F2580" s="3" t="s">
        <v>17</v>
      </c>
      <c r="G2580" s="3" t="s">
        <v>18</v>
      </c>
      <c r="H2580" s="3" t="s">
        <v>36</v>
      </c>
      <c r="I2580" s="3" t="s">
        <v>37</v>
      </c>
      <c r="J2580" s="3" t="s">
        <v>187</v>
      </c>
      <c r="K2580" s="3" t="s">
        <v>1949</v>
      </c>
      <c r="L2580" s="4">
        <v>0.49305555555555558</v>
      </c>
      <c r="M2580" s="3" t="s">
        <v>188</v>
      </c>
      <c r="N2580" s="3" t="s">
        <v>24</v>
      </c>
      <c r="O2580" s="3" t="s">
        <v>25</v>
      </c>
    </row>
    <row r="2581" spans="1:15">
      <c r="A2581" s="11" t="s">
        <v>15</v>
      </c>
      <c r="B2581" s="11" t="str">
        <f>"FES1162742769"</f>
        <v>FES1162742769</v>
      </c>
      <c r="C2581" s="11" t="s">
        <v>1845</v>
      </c>
      <c r="D2581" s="11">
        <v>1</v>
      </c>
      <c r="E2581" s="11" t="str">
        <f>"2170734156"</f>
        <v>2170734156</v>
      </c>
      <c r="F2581" s="11" t="s">
        <v>17</v>
      </c>
      <c r="G2581" s="11" t="s">
        <v>18</v>
      </c>
      <c r="H2581" s="11" t="s">
        <v>36</v>
      </c>
      <c r="I2581" s="11" t="s">
        <v>2029</v>
      </c>
      <c r="J2581" s="11" t="s">
        <v>2030</v>
      </c>
      <c r="K2581" s="11" t="s">
        <v>447</v>
      </c>
      <c r="L2581" s="11"/>
      <c r="M2581" s="11" t="s">
        <v>448</v>
      </c>
      <c r="N2581" s="11" t="s">
        <v>1675</v>
      </c>
      <c r="O2581" s="11" t="s">
        <v>25</v>
      </c>
    </row>
    <row r="2582" spans="1:15">
      <c r="A2582" s="3" t="s">
        <v>15</v>
      </c>
      <c r="B2582" s="3" t="str">
        <f>"FES1162742710"</f>
        <v>FES1162742710</v>
      </c>
      <c r="C2582" s="3" t="s">
        <v>1845</v>
      </c>
      <c r="D2582" s="3">
        <v>1</v>
      </c>
      <c r="E2582" s="3" t="str">
        <f>"2170732020"</f>
        <v>2170732020</v>
      </c>
      <c r="F2582" s="3" t="s">
        <v>17</v>
      </c>
      <c r="G2582" s="3" t="s">
        <v>18</v>
      </c>
      <c r="H2582" s="3" t="s">
        <v>18</v>
      </c>
      <c r="I2582" s="3" t="s">
        <v>29</v>
      </c>
      <c r="J2582" s="3" t="s">
        <v>307</v>
      </c>
      <c r="K2582" s="3" t="s">
        <v>1949</v>
      </c>
      <c r="L2582" s="4">
        <v>0.33333333333333331</v>
      </c>
      <c r="M2582" s="3" t="s">
        <v>2031</v>
      </c>
      <c r="N2582" s="3" t="s">
        <v>24</v>
      </c>
      <c r="O2582" s="3" t="s">
        <v>25</v>
      </c>
    </row>
    <row r="2583" spans="1:15">
      <c r="A2583" s="3" t="s">
        <v>15</v>
      </c>
      <c r="B2583" s="3" t="str">
        <f>"FES1162742767"</f>
        <v>FES1162742767</v>
      </c>
      <c r="C2583" s="3" t="s">
        <v>1845</v>
      </c>
      <c r="D2583" s="3">
        <v>1</v>
      </c>
      <c r="E2583" s="3" t="str">
        <f>"2170734152"</f>
        <v>2170734152</v>
      </c>
      <c r="F2583" s="3" t="s">
        <v>17</v>
      </c>
      <c r="G2583" s="3" t="s">
        <v>18</v>
      </c>
      <c r="H2583" s="3" t="s">
        <v>100</v>
      </c>
      <c r="I2583" s="3" t="s">
        <v>101</v>
      </c>
      <c r="J2583" s="3" t="s">
        <v>125</v>
      </c>
      <c r="K2583" s="3" t="s">
        <v>1949</v>
      </c>
      <c r="L2583" s="4">
        <v>0.29583333333333334</v>
      </c>
      <c r="M2583" s="3" t="s">
        <v>126</v>
      </c>
      <c r="N2583" s="3" t="s">
        <v>24</v>
      </c>
      <c r="O2583" s="3" t="s">
        <v>25</v>
      </c>
    </row>
    <row r="2584" spans="1:15">
      <c r="A2584" s="3" t="s">
        <v>15</v>
      </c>
      <c r="B2584" s="3" t="str">
        <f>"FES1162742771"</f>
        <v>FES1162742771</v>
      </c>
      <c r="C2584" s="3" t="s">
        <v>1845</v>
      </c>
      <c r="D2584" s="3">
        <v>1</v>
      </c>
      <c r="E2584" s="3" t="str">
        <f>"2170734159"</f>
        <v>2170734159</v>
      </c>
      <c r="F2584" s="3" t="s">
        <v>17</v>
      </c>
      <c r="G2584" s="3" t="s">
        <v>18</v>
      </c>
      <c r="H2584" s="3" t="s">
        <v>100</v>
      </c>
      <c r="I2584" s="3" t="s">
        <v>101</v>
      </c>
      <c r="J2584" s="3" t="s">
        <v>653</v>
      </c>
      <c r="K2584" s="3" t="s">
        <v>1949</v>
      </c>
      <c r="L2584" s="4">
        <v>0.37708333333333338</v>
      </c>
      <c r="M2584" s="3" t="s">
        <v>1896</v>
      </c>
      <c r="N2584" s="3" t="s">
        <v>24</v>
      </c>
      <c r="O2584" s="3" t="s">
        <v>25</v>
      </c>
    </row>
    <row r="2585" spans="1:15">
      <c r="A2585" s="3" t="s">
        <v>15</v>
      </c>
      <c r="B2585" s="3" t="str">
        <f>"FES1162742765"</f>
        <v>FES1162742765</v>
      </c>
      <c r="C2585" s="3" t="s">
        <v>1845</v>
      </c>
      <c r="D2585" s="3">
        <v>1</v>
      </c>
      <c r="E2585" s="3" t="str">
        <f>"2170734150"</f>
        <v>2170734150</v>
      </c>
      <c r="F2585" s="3" t="s">
        <v>17</v>
      </c>
      <c r="G2585" s="3" t="s">
        <v>18</v>
      </c>
      <c r="H2585" s="3" t="s">
        <v>100</v>
      </c>
      <c r="I2585" s="3" t="s">
        <v>101</v>
      </c>
      <c r="J2585" s="3" t="s">
        <v>2032</v>
      </c>
      <c r="K2585" s="3" t="s">
        <v>1949</v>
      </c>
      <c r="L2585" s="4">
        <v>0.31527777777777777</v>
      </c>
      <c r="M2585" s="3" t="s">
        <v>1610</v>
      </c>
      <c r="N2585" s="3" t="s">
        <v>24</v>
      </c>
      <c r="O2585" s="3" t="s">
        <v>25</v>
      </c>
    </row>
    <row r="2586" spans="1:15">
      <c r="A2586" s="3" t="s">
        <v>15</v>
      </c>
      <c r="B2586" s="3" t="str">
        <f>"FES1162742780"</f>
        <v>FES1162742780</v>
      </c>
      <c r="C2586" s="3" t="s">
        <v>1845</v>
      </c>
      <c r="D2586" s="3">
        <v>1</v>
      </c>
      <c r="E2586" s="3" t="str">
        <f>"2170734167"</f>
        <v>2170734167</v>
      </c>
      <c r="F2586" s="3" t="s">
        <v>17</v>
      </c>
      <c r="G2586" s="3" t="s">
        <v>18</v>
      </c>
      <c r="H2586" s="3" t="s">
        <v>46</v>
      </c>
      <c r="I2586" s="3" t="s">
        <v>47</v>
      </c>
      <c r="J2586" s="3" t="s">
        <v>62</v>
      </c>
      <c r="K2586" s="3" t="s">
        <v>1949</v>
      </c>
      <c r="L2586" s="4">
        <v>0.75069444444444444</v>
      </c>
      <c r="M2586" s="3" t="s">
        <v>2033</v>
      </c>
      <c r="N2586" s="3" t="s">
        <v>24</v>
      </c>
      <c r="O2586" s="3" t="s">
        <v>25</v>
      </c>
    </row>
    <row r="2587" spans="1:15">
      <c r="A2587" s="3" t="s">
        <v>15</v>
      </c>
      <c r="B2587" s="3" t="str">
        <f>"FES1162742788"</f>
        <v>FES1162742788</v>
      </c>
      <c r="C2587" s="3" t="s">
        <v>1845</v>
      </c>
      <c r="D2587" s="3">
        <v>1</v>
      </c>
      <c r="E2587" s="3" t="str">
        <f>"2170734174"</f>
        <v>2170734174</v>
      </c>
      <c r="F2587" s="3" t="s">
        <v>17</v>
      </c>
      <c r="G2587" s="3" t="s">
        <v>18</v>
      </c>
      <c r="H2587" s="3" t="s">
        <v>19</v>
      </c>
      <c r="I2587" s="3" t="s">
        <v>20</v>
      </c>
      <c r="J2587" s="3" t="s">
        <v>823</v>
      </c>
      <c r="K2587" s="3" t="s">
        <v>1949</v>
      </c>
      <c r="L2587" s="4">
        <v>0.35625000000000001</v>
      </c>
      <c r="M2587" s="3" t="s">
        <v>200</v>
      </c>
      <c r="N2587" s="3" t="s">
        <v>24</v>
      </c>
      <c r="O2587" s="3" t="s">
        <v>25</v>
      </c>
    </row>
    <row r="2588" spans="1:15">
      <c r="A2588" s="3" t="s">
        <v>15</v>
      </c>
      <c r="B2588" s="3" t="str">
        <f>"FES1162742578"</f>
        <v>FES1162742578</v>
      </c>
      <c r="C2588" s="3" t="s">
        <v>1845</v>
      </c>
      <c r="D2588" s="3">
        <v>1</v>
      </c>
      <c r="E2588" s="3" t="str">
        <f>"2170731801"</f>
        <v>2170731801</v>
      </c>
      <c r="F2588" s="3" t="s">
        <v>17</v>
      </c>
      <c r="G2588" s="3" t="s">
        <v>18</v>
      </c>
      <c r="H2588" s="3" t="s">
        <v>534</v>
      </c>
      <c r="I2588" s="3" t="s">
        <v>864</v>
      </c>
      <c r="J2588" s="3" t="s">
        <v>865</v>
      </c>
      <c r="K2588" s="3" t="s">
        <v>1949</v>
      </c>
      <c r="L2588" s="4">
        <v>0.375</v>
      </c>
      <c r="M2588" s="3" t="s">
        <v>2034</v>
      </c>
      <c r="N2588" s="3" t="s">
        <v>24</v>
      </c>
      <c r="O2588" s="3" t="s">
        <v>25</v>
      </c>
    </row>
    <row r="2589" spans="1:15">
      <c r="A2589" s="3" t="s">
        <v>15</v>
      </c>
      <c r="B2589" s="3" t="str">
        <f>"FES1162742565"</f>
        <v>FES1162742565</v>
      </c>
      <c r="C2589" s="3" t="s">
        <v>1845</v>
      </c>
      <c r="D2589" s="3">
        <v>1</v>
      </c>
      <c r="E2589" s="3" t="str">
        <f>"2170731662"</f>
        <v>2170731662</v>
      </c>
      <c r="F2589" s="3" t="s">
        <v>17</v>
      </c>
      <c r="G2589" s="3" t="s">
        <v>18</v>
      </c>
      <c r="H2589" s="3" t="s">
        <v>18</v>
      </c>
      <c r="I2589" s="3" t="s">
        <v>33</v>
      </c>
      <c r="J2589" s="3" t="s">
        <v>34</v>
      </c>
      <c r="K2589" s="3" t="s">
        <v>1949</v>
      </c>
      <c r="L2589" s="4">
        <v>0.40208333333333335</v>
      </c>
      <c r="M2589" s="3" t="s">
        <v>1995</v>
      </c>
      <c r="N2589" s="3" t="s">
        <v>24</v>
      </c>
      <c r="O2589" s="3" t="s">
        <v>25</v>
      </c>
    </row>
    <row r="2590" spans="1:15">
      <c r="A2590" s="3" t="s">
        <v>15</v>
      </c>
      <c r="B2590" s="3" t="str">
        <f>"FES1162742528"</f>
        <v>FES1162742528</v>
      </c>
      <c r="C2590" s="3" t="s">
        <v>1845</v>
      </c>
      <c r="D2590" s="3">
        <v>1</v>
      </c>
      <c r="E2590" s="3" t="str">
        <f>"2170731576"</f>
        <v>2170731576</v>
      </c>
      <c r="F2590" s="3" t="s">
        <v>17</v>
      </c>
      <c r="G2590" s="3" t="s">
        <v>18</v>
      </c>
      <c r="H2590" s="3" t="s">
        <v>18</v>
      </c>
      <c r="I2590" s="3" t="s">
        <v>33</v>
      </c>
      <c r="J2590" s="3" t="s">
        <v>729</v>
      </c>
      <c r="K2590" s="3" t="s">
        <v>1949</v>
      </c>
      <c r="L2590" s="4">
        <v>0.49652777777777773</v>
      </c>
      <c r="M2590" s="3" t="s">
        <v>729</v>
      </c>
      <c r="N2590" s="3" t="s">
        <v>24</v>
      </c>
      <c r="O2590" s="3" t="s">
        <v>25</v>
      </c>
    </row>
    <row r="2591" spans="1:15">
      <c r="A2591" s="3" t="s">
        <v>15</v>
      </c>
      <c r="B2591" s="3" t="str">
        <f>"FES1162742796"</f>
        <v>FES1162742796</v>
      </c>
      <c r="C2591" s="3" t="s">
        <v>1845</v>
      </c>
      <c r="D2591" s="3">
        <v>1</v>
      </c>
      <c r="E2591" s="3" t="str">
        <f>"2170734182"</f>
        <v>2170734182</v>
      </c>
      <c r="F2591" s="3" t="s">
        <v>17</v>
      </c>
      <c r="G2591" s="3" t="s">
        <v>18</v>
      </c>
      <c r="H2591" s="3" t="s">
        <v>19</v>
      </c>
      <c r="I2591" s="3" t="s">
        <v>236</v>
      </c>
      <c r="J2591" s="3" t="s">
        <v>257</v>
      </c>
      <c r="K2591" s="3" t="s">
        <v>1949</v>
      </c>
      <c r="L2591" s="4">
        <v>0.35069444444444442</v>
      </c>
      <c r="M2591" s="3" t="s">
        <v>819</v>
      </c>
      <c r="N2591" s="3" t="s">
        <v>24</v>
      </c>
      <c r="O2591" s="3" t="s">
        <v>25</v>
      </c>
    </row>
    <row r="2592" spans="1:15">
      <c r="A2592" s="3" t="s">
        <v>15</v>
      </c>
      <c r="B2592" s="3" t="str">
        <f>"FES1162742595"</f>
        <v>FES1162742595</v>
      </c>
      <c r="C2592" s="3" t="s">
        <v>1845</v>
      </c>
      <c r="D2592" s="3">
        <v>1</v>
      </c>
      <c r="E2592" s="3" t="str">
        <f>"2170732049"</f>
        <v>2170732049</v>
      </c>
      <c r="F2592" s="3" t="s">
        <v>17</v>
      </c>
      <c r="G2592" s="3" t="s">
        <v>18</v>
      </c>
      <c r="H2592" s="3" t="s">
        <v>18</v>
      </c>
      <c r="I2592" s="3" t="s">
        <v>171</v>
      </c>
      <c r="J2592" s="3" t="s">
        <v>369</v>
      </c>
      <c r="K2592" s="3" t="s">
        <v>1949</v>
      </c>
      <c r="L2592" s="4">
        <v>0.39027777777777778</v>
      </c>
      <c r="M2592" s="3" t="s">
        <v>370</v>
      </c>
      <c r="N2592" s="3" t="s">
        <v>24</v>
      </c>
      <c r="O2592" s="3" t="s">
        <v>25</v>
      </c>
    </row>
    <row r="2593" spans="1:15">
      <c r="A2593" s="3" t="s">
        <v>15</v>
      </c>
      <c r="B2593" s="3" t="str">
        <f>"FES1162742635"</f>
        <v>FES1162742635</v>
      </c>
      <c r="C2593" s="3" t="s">
        <v>1845</v>
      </c>
      <c r="D2593" s="3">
        <v>1</v>
      </c>
      <c r="E2593" s="3" t="str">
        <f>"2170734065"</f>
        <v>2170734065</v>
      </c>
      <c r="F2593" s="3" t="s">
        <v>17</v>
      </c>
      <c r="G2593" s="3" t="s">
        <v>18</v>
      </c>
      <c r="H2593" s="3" t="s">
        <v>18</v>
      </c>
      <c r="I2593" s="3" t="s">
        <v>171</v>
      </c>
      <c r="J2593" s="3" t="s">
        <v>1599</v>
      </c>
      <c r="K2593" s="3" t="s">
        <v>1949</v>
      </c>
      <c r="L2593" s="4">
        <v>0.36874999999999997</v>
      </c>
      <c r="M2593" s="3" t="s">
        <v>1821</v>
      </c>
      <c r="N2593" s="3" t="s">
        <v>24</v>
      </c>
      <c r="O2593" s="3" t="s">
        <v>25</v>
      </c>
    </row>
    <row r="2594" spans="1:15">
      <c r="A2594" s="3" t="s">
        <v>15</v>
      </c>
      <c r="B2594" s="3" t="str">
        <f>"FES1162742531"</f>
        <v>FES1162742531</v>
      </c>
      <c r="C2594" s="3" t="s">
        <v>1845</v>
      </c>
      <c r="D2594" s="3">
        <v>1</v>
      </c>
      <c r="E2594" s="3" t="str">
        <f>"2170731801"</f>
        <v>2170731801</v>
      </c>
      <c r="F2594" s="3" t="s">
        <v>17</v>
      </c>
      <c r="G2594" s="3" t="s">
        <v>18</v>
      </c>
      <c r="H2594" s="3" t="s">
        <v>534</v>
      </c>
      <c r="I2594" s="3" t="s">
        <v>864</v>
      </c>
      <c r="J2594" s="3" t="s">
        <v>865</v>
      </c>
      <c r="K2594" s="3" t="s">
        <v>1949</v>
      </c>
      <c r="L2594" s="4">
        <v>0.375</v>
      </c>
      <c r="M2594" s="3" t="s">
        <v>2034</v>
      </c>
      <c r="N2594" s="3" t="s">
        <v>24</v>
      </c>
      <c r="O2594" s="3" t="s">
        <v>25</v>
      </c>
    </row>
    <row r="2595" spans="1:15">
      <c r="A2595" s="3" t="s">
        <v>15</v>
      </c>
      <c r="B2595" s="3" t="str">
        <f>"FES1162742782"</f>
        <v>FES1162742782</v>
      </c>
      <c r="C2595" s="3" t="s">
        <v>1845</v>
      </c>
      <c r="D2595" s="3">
        <v>1</v>
      </c>
      <c r="E2595" s="3" t="str">
        <f>"2170734169"</f>
        <v>2170734169</v>
      </c>
      <c r="F2595" s="3" t="s">
        <v>17</v>
      </c>
      <c r="G2595" s="3" t="s">
        <v>18</v>
      </c>
      <c r="H2595" s="3" t="s">
        <v>36</v>
      </c>
      <c r="I2595" s="3" t="s">
        <v>37</v>
      </c>
      <c r="J2595" s="3" t="s">
        <v>1354</v>
      </c>
      <c r="K2595" s="3" t="s">
        <v>1949</v>
      </c>
      <c r="L2595" s="4">
        <v>0.375</v>
      </c>
      <c r="M2595" s="3" t="s">
        <v>2035</v>
      </c>
      <c r="N2595" s="3" t="s">
        <v>24</v>
      </c>
      <c r="O2595" s="3" t="s">
        <v>25</v>
      </c>
    </row>
    <row r="2596" spans="1:15">
      <c r="A2596" s="3" t="s">
        <v>15</v>
      </c>
      <c r="B2596" s="3" t="str">
        <f>"FES1162742799"</f>
        <v>FES1162742799</v>
      </c>
      <c r="C2596" s="3" t="s">
        <v>1845</v>
      </c>
      <c r="D2596" s="3">
        <v>1</v>
      </c>
      <c r="E2596" s="3" t="str">
        <f>"2170734185"</f>
        <v>2170734185</v>
      </c>
      <c r="F2596" s="3" t="s">
        <v>17</v>
      </c>
      <c r="G2596" s="3" t="s">
        <v>18</v>
      </c>
      <c r="H2596" s="3" t="s">
        <v>100</v>
      </c>
      <c r="I2596" s="3" t="s">
        <v>262</v>
      </c>
      <c r="J2596" s="3" t="s">
        <v>1113</v>
      </c>
      <c r="K2596" s="3" t="s">
        <v>2036</v>
      </c>
      <c r="L2596" s="4">
        <v>0.375</v>
      </c>
      <c r="M2596" s="3" t="s">
        <v>2037</v>
      </c>
      <c r="N2596" s="3" t="s">
        <v>24</v>
      </c>
      <c r="O2596" s="3" t="s">
        <v>25</v>
      </c>
    </row>
    <row r="2597" spans="1:15">
      <c r="A2597" s="3" t="s">
        <v>15</v>
      </c>
      <c r="B2597" s="3" t="str">
        <f>"FES1162742789"</f>
        <v>FES1162742789</v>
      </c>
      <c r="C2597" s="3" t="s">
        <v>1845</v>
      </c>
      <c r="D2597" s="3">
        <v>1</v>
      </c>
      <c r="E2597" s="3" t="str">
        <f>"2170734175"</f>
        <v>2170734175</v>
      </c>
      <c r="F2597" s="3" t="s">
        <v>17</v>
      </c>
      <c r="G2597" s="3" t="s">
        <v>18</v>
      </c>
      <c r="H2597" s="3" t="s">
        <v>100</v>
      </c>
      <c r="I2597" s="3" t="s">
        <v>101</v>
      </c>
      <c r="J2597" s="3" t="s">
        <v>131</v>
      </c>
      <c r="K2597" s="3" t="s">
        <v>1949</v>
      </c>
      <c r="L2597" s="4">
        <v>0.35694444444444445</v>
      </c>
      <c r="M2597" s="3" t="s">
        <v>132</v>
      </c>
      <c r="N2597" s="3" t="s">
        <v>24</v>
      </c>
      <c r="O2597" s="3" t="s">
        <v>25</v>
      </c>
    </row>
    <row r="2598" spans="1:15">
      <c r="A2598" s="11" t="s">
        <v>15</v>
      </c>
      <c r="B2598" s="11" t="str">
        <f>"FES1162742561"</f>
        <v>FES1162742561</v>
      </c>
      <c r="C2598" s="11" t="s">
        <v>1845</v>
      </c>
      <c r="D2598" s="11">
        <v>1</v>
      </c>
      <c r="E2598" s="11" t="str">
        <f>"2170731628"</f>
        <v>2170731628</v>
      </c>
      <c r="F2598" s="11" t="s">
        <v>17</v>
      </c>
      <c r="G2598" s="11" t="s">
        <v>18</v>
      </c>
      <c r="H2598" s="11" t="s">
        <v>18</v>
      </c>
      <c r="I2598" s="11" t="s">
        <v>453</v>
      </c>
      <c r="J2598" s="11" t="s">
        <v>726</v>
      </c>
      <c r="K2598" s="11" t="s">
        <v>447</v>
      </c>
      <c r="L2598" s="11"/>
      <c r="M2598" s="11" t="s">
        <v>448</v>
      </c>
      <c r="N2598" s="11" t="s">
        <v>2038</v>
      </c>
      <c r="O2598" s="11" t="s">
        <v>2038</v>
      </c>
    </row>
    <row r="2599" spans="1:15">
      <c r="A2599" s="3" t="s">
        <v>15</v>
      </c>
      <c r="B2599" s="3" t="str">
        <f>"FES1162742608"</f>
        <v>FES1162742608</v>
      </c>
      <c r="C2599" s="3" t="s">
        <v>1845</v>
      </c>
      <c r="D2599" s="3">
        <v>1</v>
      </c>
      <c r="E2599" s="3" t="str">
        <f>"2170732204"</f>
        <v>2170732204</v>
      </c>
      <c r="F2599" s="3" t="s">
        <v>17</v>
      </c>
      <c r="G2599" s="3" t="s">
        <v>18</v>
      </c>
      <c r="H2599" s="3" t="s">
        <v>18</v>
      </c>
      <c r="I2599" s="3" t="s">
        <v>341</v>
      </c>
      <c r="J2599" s="3" t="s">
        <v>345</v>
      </c>
      <c r="K2599" s="3" t="s">
        <v>1949</v>
      </c>
      <c r="L2599" s="4">
        <v>0.41388888888888892</v>
      </c>
      <c r="M2599" s="3" t="s">
        <v>1121</v>
      </c>
      <c r="N2599" s="3" t="s">
        <v>24</v>
      </c>
      <c r="O2599" s="3" t="s">
        <v>25</v>
      </c>
    </row>
    <row r="2600" spans="1:15">
      <c r="A2600" s="3" t="s">
        <v>15</v>
      </c>
      <c r="B2600" s="3" t="str">
        <f>"FES1162742645"</f>
        <v>FES1162742645</v>
      </c>
      <c r="C2600" s="3" t="s">
        <v>1845</v>
      </c>
      <c r="D2600" s="3">
        <v>1</v>
      </c>
      <c r="E2600" s="3" t="str">
        <f>"2170734078"</f>
        <v>2170734078</v>
      </c>
      <c r="F2600" s="3" t="s">
        <v>17</v>
      </c>
      <c r="G2600" s="3" t="s">
        <v>18</v>
      </c>
      <c r="H2600" s="3" t="s">
        <v>18</v>
      </c>
      <c r="I2600" s="3" t="s">
        <v>180</v>
      </c>
      <c r="J2600" s="3" t="s">
        <v>181</v>
      </c>
      <c r="K2600" s="3" t="s">
        <v>1949</v>
      </c>
      <c r="L2600" s="4">
        <v>0.4375</v>
      </c>
      <c r="M2600" s="3" t="s">
        <v>1366</v>
      </c>
      <c r="N2600" s="3" t="s">
        <v>24</v>
      </c>
      <c r="O2600" s="3" t="s">
        <v>25</v>
      </c>
    </row>
    <row r="2601" spans="1:15">
      <c r="A2601" s="3" t="s">
        <v>15</v>
      </c>
      <c r="B2601" s="3" t="str">
        <f>"FES1162742750"</f>
        <v>FES1162742750</v>
      </c>
      <c r="C2601" s="3" t="s">
        <v>1845</v>
      </c>
      <c r="D2601" s="3">
        <v>1</v>
      </c>
      <c r="E2601" s="3" t="str">
        <f>"2170734312"</f>
        <v>2170734312</v>
      </c>
      <c r="F2601" s="3" t="s">
        <v>17</v>
      </c>
      <c r="G2601" s="3" t="s">
        <v>18</v>
      </c>
      <c r="H2601" s="3" t="s">
        <v>100</v>
      </c>
      <c r="I2601" s="3" t="s">
        <v>101</v>
      </c>
      <c r="J2601" s="3" t="s">
        <v>653</v>
      </c>
      <c r="K2601" s="3" t="s">
        <v>1949</v>
      </c>
      <c r="L2601" s="4">
        <v>0.37708333333333338</v>
      </c>
      <c r="M2601" s="3" t="s">
        <v>1896</v>
      </c>
      <c r="N2601" s="3" t="s">
        <v>24</v>
      </c>
      <c r="O2601" s="3" t="s">
        <v>25</v>
      </c>
    </row>
    <row r="2602" spans="1:15">
      <c r="A2602" s="3" t="s">
        <v>15</v>
      </c>
      <c r="B2602" s="3" t="str">
        <f>"FES1162742580"</f>
        <v>FES1162742580</v>
      </c>
      <c r="C2602" s="3" t="s">
        <v>1845</v>
      </c>
      <c r="D2602" s="3">
        <v>1</v>
      </c>
      <c r="E2602" s="3" t="str">
        <f>"2170731816"</f>
        <v>2170731816</v>
      </c>
      <c r="F2602" s="3" t="s">
        <v>17</v>
      </c>
      <c r="G2602" s="3" t="s">
        <v>18</v>
      </c>
      <c r="H2602" s="3" t="s">
        <v>1271</v>
      </c>
      <c r="I2602" s="3" t="s">
        <v>206</v>
      </c>
      <c r="J2602" s="3" t="s">
        <v>207</v>
      </c>
      <c r="K2602" s="3" t="s">
        <v>1949</v>
      </c>
      <c r="L2602" s="4">
        <v>0.43194444444444446</v>
      </c>
      <c r="M2602" s="3" t="s">
        <v>867</v>
      </c>
      <c r="N2602" s="3" t="s">
        <v>24</v>
      </c>
      <c r="O2602" s="3" t="s">
        <v>25</v>
      </c>
    </row>
    <row r="2603" spans="1:15">
      <c r="A2603" s="3" t="s">
        <v>15</v>
      </c>
      <c r="B2603" s="3" t="str">
        <f>"FES1162742667"</f>
        <v>FES1162742667</v>
      </c>
      <c r="C2603" s="3" t="s">
        <v>1845</v>
      </c>
      <c r="D2603" s="3">
        <v>1</v>
      </c>
      <c r="E2603" s="3" t="str">
        <f>"2170734101"</f>
        <v>2170734101</v>
      </c>
      <c r="F2603" s="3" t="s">
        <v>17</v>
      </c>
      <c r="G2603" s="3" t="s">
        <v>18</v>
      </c>
      <c r="H2603" s="3" t="s">
        <v>18</v>
      </c>
      <c r="I2603" s="3" t="s">
        <v>338</v>
      </c>
      <c r="J2603" s="3" t="s">
        <v>1064</v>
      </c>
      <c r="K2603" s="3" t="s">
        <v>1949</v>
      </c>
      <c r="L2603" s="4">
        <v>0.3611111111111111</v>
      </c>
      <c r="M2603" s="3" t="s">
        <v>2039</v>
      </c>
      <c r="N2603" s="3" t="s">
        <v>24</v>
      </c>
      <c r="O2603" s="3" t="s">
        <v>25</v>
      </c>
    </row>
    <row r="2604" spans="1:15">
      <c r="A2604" s="3" t="s">
        <v>15</v>
      </c>
      <c r="B2604" s="3" t="str">
        <f>"FES1162742603"</f>
        <v>FES1162742603</v>
      </c>
      <c r="C2604" s="3" t="s">
        <v>1845</v>
      </c>
      <c r="D2604" s="3">
        <v>1</v>
      </c>
      <c r="E2604" s="3" t="str">
        <f>"2170732180"</f>
        <v>2170732180</v>
      </c>
      <c r="F2604" s="3" t="s">
        <v>17</v>
      </c>
      <c r="G2604" s="3" t="s">
        <v>18</v>
      </c>
      <c r="H2604" s="3" t="s">
        <v>18</v>
      </c>
      <c r="I2604" s="3" t="s">
        <v>33</v>
      </c>
      <c r="J2604" s="3" t="s">
        <v>34</v>
      </c>
      <c r="K2604" s="3" t="s">
        <v>1949</v>
      </c>
      <c r="L2604" s="4">
        <v>0.40208333333333335</v>
      </c>
      <c r="M2604" s="3" t="s">
        <v>1430</v>
      </c>
      <c r="N2604" s="3" t="s">
        <v>24</v>
      </c>
      <c r="O2604" s="3" t="s">
        <v>25</v>
      </c>
    </row>
    <row r="2605" spans="1:15">
      <c r="A2605" s="3" t="s">
        <v>15</v>
      </c>
      <c r="B2605" s="3" t="str">
        <f>"FES1162742801"</f>
        <v>FES1162742801</v>
      </c>
      <c r="C2605" s="3" t="s">
        <v>1845</v>
      </c>
      <c r="D2605" s="3">
        <v>1</v>
      </c>
      <c r="E2605" s="3" t="str">
        <f>"2170734188"</f>
        <v>2170734188</v>
      </c>
      <c r="F2605" s="3" t="s">
        <v>17</v>
      </c>
      <c r="G2605" s="3" t="s">
        <v>18</v>
      </c>
      <c r="H2605" s="3" t="s">
        <v>100</v>
      </c>
      <c r="I2605" s="3" t="s">
        <v>101</v>
      </c>
      <c r="J2605" s="3" t="s">
        <v>137</v>
      </c>
      <c r="K2605" s="3" t="s">
        <v>1949</v>
      </c>
      <c r="L2605" s="4">
        <v>0.4368055555555555</v>
      </c>
      <c r="M2605" s="3" t="s">
        <v>2040</v>
      </c>
      <c r="N2605" s="3" t="s">
        <v>24</v>
      </c>
      <c r="O2605" s="3" t="s">
        <v>25</v>
      </c>
    </row>
    <row r="2606" spans="1:15">
      <c r="A2606" s="3" t="s">
        <v>15</v>
      </c>
      <c r="B2606" s="3" t="str">
        <f>"FES1162742748"</f>
        <v>FES1162742748</v>
      </c>
      <c r="C2606" s="3" t="s">
        <v>1845</v>
      </c>
      <c r="D2606" s="3">
        <v>1</v>
      </c>
      <c r="E2606" s="3" t="str">
        <f>"2170734126"</f>
        <v>2170734126</v>
      </c>
      <c r="F2606" s="3" t="s">
        <v>17</v>
      </c>
      <c r="G2606" s="3" t="s">
        <v>18</v>
      </c>
      <c r="H2606" s="3" t="s">
        <v>100</v>
      </c>
      <c r="I2606" s="3" t="s">
        <v>101</v>
      </c>
      <c r="J2606" s="3" t="s">
        <v>137</v>
      </c>
      <c r="K2606" s="3" t="s">
        <v>1949</v>
      </c>
      <c r="L2606" s="4">
        <v>0.43472222222222223</v>
      </c>
      <c r="M2606" s="3" t="s">
        <v>2025</v>
      </c>
      <c r="N2606" s="3" t="s">
        <v>24</v>
      </c>
      <c r="O2606" s="3" t="s">
        <v>25</v>
      </c>
    </row>
    <row r="2607" spans="1:15">
      <c r="A2607" s="3" t="s">
        <v>15</v>
      </c>
      <c r="B2607" s="3" t="str">
        <f>"FES1162742672"</f>
        <v>FES1162742672</v>
      </c>
      <c r="C2607" s="3" t="s">
        <v>1845</v>
      </c>
      <c r="D2607" s="3">
        <v>1</v>
      </c>
      <c r="E2607" s="3" t="str">
        <f>"2170734107"</f>
        <v>2170734107</v>
      </c>
      <c r="F2607" s="3" t="s">
        <v>17</v>
      </c>
      <c r="G2607" s="3" t="s">
        <v>18</v>
      </c>
      <c r="H2607" s="3" t="s">
        <v>948</v>
      </c>
      <c r="I2607" s="3" t="s">
        <v>33</v>
      </c>
      <c r="J2607" s="3" t="s">
        <v>1478</v>
      </c>
      <c r="K2607" s="3" t="s">
        <v>1949</v>
      </c>
      <c r="L2607" s="4">
        <v>0.33333333333333331</v>
      </c>
      <c r="M2607" s="3" t="s">
        <v>2041</v>
      </c>
      <c r="N2607" s="3" t="s">
        <v>24</v>
      </c>
      <c r="O2607" s="3" t="s">
        <v>25</v>
      </c>
    </row>
    <row r="2608" spans="1:15">
      <c r="A2608" s="3" t="s">
        <v>15</v>
      </c>
      <c r="B2608" s="3" t="str">
        <f>"FES1162742637"</f>
        <v>FES1162742637</v>
      </c>
      <c r="C2608" s="3" t="s">
        <v>1845</v>
      </c>
      <c r="D2608" s="3">
        <v>1</v>
      </c>
      <c r="E2608" s="3" t="str">
        <f>"2170734068"</f>
        <v>2170734068</v>
      </c>
      <c r="F2608" s="3" t="s">
        <v>17</v>
      </c>
      <c r="G2608" s="3" t="s">
        <v>18</v>
      </c>
      <c r="H2608" s="3" t="s">
        <v>18</v>
      </c>
      <c r="I2608" s="3" t="s">
        <v>33</v>
      </c>
      <c r="J2608" s="3" t="s">
        <v>284</v>
      </c>
      <c r="K2608" s="3" t="s">
        <v>1949</v>
      </c>
      <c r="L2608" s="4">
        <v>0.49374999999999997</v>
      </c>
      <c r="M2608" s="3" t="s">
        <v>284</v>
      </c>
      <c r="N2608" s="3" t="s">
        <v>24</v>
      </c>
      <c r="O2608" s="3" t="s">
        <v>25</v>
      </c>
    </row>
    <row r="2609" spans="1:15">
      <c r="A2609" s="3" t="s">
        <v>15</v>
      </c>
      <c r="B2609" s="3" t="str">
        <f>"FES1162742646"</f>
        <v>FES1162742646</v>
      </c>
      <c r="C2609" s="3" t="s">
        <v>1845</v>
      </c>
      <c r="D2609" s="3">
        <v>1</v>
      </c>
      <c r="E2609" s="3" t="str">
        <f>"2170734080"</f>
        <v>2170734080</v>
      </c>
      <c r="F2609" s="3" t="s">
        <v>17</v>
      </c>
      <c r="G2609" s="3" t="s">
        <v>18</v>
      </c>
      <c r="H2609" s="3" t="s">
        <v>18</v>
      </c>
      <c r="I2609" s="3" t="s">
        <v>313</v>
      </c>
      <c r="J2609" s="3" t="s">
        <v>2042</v>
      </c>
      <c r="K2609" s="3" t="s">
        <v>1949</v>
      </c>
      <c r="L2609" s="4">
        <v>0.35972222222222222</v>
      </c>
      <c r="M2609" s="3" t="s">
        <v>2043</v>
      </c>
      <c r="N2609" s="3" t="s">
        <v>24</v>
      </c>
      <c r="O2609" s="3" t="s">
        <v>25</v>
      </c>
    </row>
    <row r="2610" spans="1:15">
      <c r="A2610" s="3" t="s">
        <v>15</v>
      </c>
      <c r="B2610" s="3" t="str">
        <f>"FES1162742693"</f>
        <v>FES1162742693</v>
      </c>
      <c r="C2610" s="3" t="s">
        <v>1845</v>
      </c>
      <c r="D2610" s="3">
        <v>1</v>
      </c>
      <c r="E2610" s="3" t="str">
        <f>"2170730734"</f>
        <v>2170730734</v>
      </c>
      <c r="F2610" s="3" t="s">
        <v>17</v>
      </c>
      <c r="G2610" s="3" t="s">
        <v>18</v>
      </c>
      <c r="H2610" s="3" t="s">
        <v>66</v>
      </c>
      <c r="I2610" s="3" t="s">
        <v>67</v>
      </c>
      <c r="J2610" s="3" t="s">
        <v>1515</v>
      </c>
      <c r="K2610" s="3" t="s">
        <v>1949</v>
      </c>
      <c r="L2610" s="4">
        <v>0.38541666666666669</v>
      </c>
      <c r="M2610" s="3" t="s">
        <v>506</v>
      </c>
      <c r="N2610" s="3" t="s">
        <v>24</v>
      </c>
      <c r="O2610" s="3" t="s">
        <v>25</v>
      </c>
    </row>
    <row r="2611" spans="1:15">
      <c r="A2611" s="3" t="s">
        <v>15</v>
      </c>
      <c r="B2611" s="3" t="str">
        <f>"FES1162742638"</f>
        <v>FES1162742638</v>
      </c>
      <c r="C2611" s="3" t="s">
        <v>1845</v>
      </c>
      <c r="D2611" s="3">
        <v>2</v>
      </c>
      <c r="E2611" s="3" t="str">
        <f>"2170734032"</f>
        <v>2170734032</v>
      </c>
      <c r="F2611" s="3" t="s">
        <v>528</v>
      </c>
      <c r="G2611" s="3" t="s">
        <v>948</v>
      </c>
      <c r="H2611" s="3" t="s">
        <v>948</v>
      </c>
      <c r="I2611" s="3" t="s">
        <v>1205</v>
      </c>
      <c r="J2611" s="3" t="s">
        <v>1206</v>
      </c>
      <c r="K2611" s="3" t="s">
        <v>1949</v>
      </c>
      <c r="L2611" s="4">
        <v>0.33333333333333331</v>
      </c>
      <c r="M2611" s="3" t="s">
        <v>182</v>
      </c>
      <c r="N2611" s="3" t="s">
        <v>24</v>
      </c>
      <c r="O2611" s="3" t="s">
        <v>25</v>
      </c>
    </row>
    <row r="2612" spans="1:15">
      <c r="A2612" s="3" t="s">
        <v>15</v>
      </c>
      <c r="B2612" s="3" t="str">
        <f>"FES1162742682"</f>
        <v>FES1162742682</v>
      </c>
      <c r="C2612" s="3" t="s">
        <v>1845</v>
      </c>
      <c r="D2612" s="3">
        <v>1</v>
      </c>
      <c r="E2612" s="3" t="str">
        <f>"2170736530"</f>
        <v>2170736530</v>
      </c>
      <c r="F2612" s="3" t="s">
        <v>17</v>
      </c>
      <c r="G2612" s="3" t="s">
        <v>18</v>
      </c>
      <c r="H2612" s="3" t="s">
        <v>18</v>
      </c>
      <c r="I2612" s="3" t="s">
        <v>163</v>
      </c>
      <c r="J2612" s="3" t="s">
        <v>164</v>
      </c>
      <c r="K2612" s="3" t="s">
        <v>1949</v>
      </c>
      <c r="L2612" s="4">
        <v>0.4375</v>
      </c>
      <c r="M2612" s="3" t="s">
        <v>2044</v>
      </c>
      <c r="N2612" s="3" t="s">
        <v>24</v>
      </c>
      <c r="O2612" s="3" t="s">
        <v>25</v>
      </c>
    </row>
    <row r="2613" spans="1:15">
      <c r="A2613" s="3" t="s">
        <v>15</v>
      </c>
      <c r="B2613" s="3" t="str">
        <f>"FES1162742800"</f>
        <v>FES1162742800</v>
      </c>
      <c r="C2613" s="3" t="s">
        <v>1845</v>
      </c>
      <c r="D2613" s="3">
        <v>1</v>
      </c>
      <c r="E2613" s="3" t="str">
        <f>"2170734187"</f>
        <v>2170734187</v>
      </c>
      <c r="F2613" s="3" t="s">
        <v>17</v>
      </c>
      <c r="G2613" s="3" t="s">
        <v>18</v>
      </c>
      <c r="H2613" s="3" t="s">
        <v>18</v>
      </c>
      <c r="I2613" s="3" t="s">
        <v>184</v>
      </c>
      <c r="J2613" s="3" t="s">
        <v>185</v>
      </c>
      <c r="K2613" s="3" t="s">
        <v>1949</v>
      </c>
      <c r="L2613" s="4">
        <v>0.35416666666666669</v>
      </c>
      <c r="M2613" s="3" t="s">
        <v>1024</v>
      </c>
      <c r="N2613" s="3" t="s">
        <v>24</v>
      </c>
      <c r="O2613" s="3" t="s">
        <v>25</v>
      </c>
    </row>
    <row r="2614" spans="1:15">
      <c r="A2614" s="3" t="s">
        <v>15</v>
      </c>
      <c r="B2614" s="3" t="str">
        <f>"FES1162742681"</f>
        <v>FES1162742681</v>
      </c>
      <c r="C2614" s="3" t="s">
        <v>1845</v>
      </c>
      <c r="D2614" s="3">
        <v>1</v>
      </c>
      <c r="E2614" s="3" t="str">
        <f>"21707347118"</f>
        <v>21707347118</v>
      </c>
      <c r="F2614" s="3" t="s">
        <v>17</v>
      </c>
      <c r="G2614" s="3" t="s">
        <v>18</v>
      </c>
      <c r="H2614" s="3" t="s">
        <v>46</v>
      </c>
      <c r="I2614" s="3" t="s">
        <v>47</v>
      </c>
      <c r="J2614" s="3" t="s">
        <v>2045</v>
      </c>
      <c r="K2614" s="3" t="s">
        <v>1949</v>
      </c>
      <c r="L2614" s="4">
        <v>0.35416666666666669</v>
      </c>
      <c r="M2614" s="3" t="s">
        <v>2046</v>
      </c>
      <c r="N2614" s="3" t="s">
        <v>24</v>
      </c>
      <c r="O2614" s="3" t="s">
        <v>25</v>
      </c>
    </row>
    <row r="2615" spans="1:15">
      <c r="A2615" s="3" t="s">
        <v>15</v>
      </c>
      <c r="B2615" s="3" t="str">
        <f>"FES1162742820"</f>
        <v>FES1162742820</v>
      </c>
      <c r="C2615" s="3" t="s">
        <v>1845</v>
      </c>
      <c r="D2615" s="3">
        <v>1</v>
      </c>
      <c r="E2615" s="3" t="str">
        <f>"2170734207"</f>
        <v>2170734207</v>
      </c>
      <c r="F2615" s="3" t="s">
        <v>17</v>
      </c>
      <c r="G2615" s="3" t="s">
        <v>18</v>
      </c>
      <c r="H2615" s="3" t="s">
        <v>100</v>
      </c>
      <c r="I2615" s="3" t="s">
        <v>101</v>
      </c>
      <c r="J2615" s="3" t="s">
        <v>125</v>
      </c>
      <c r="K2615" s="3" t="s">
        <v>1949</v>
      </c>
      <c r="L2615" s="4">
        <v>0.29583333333333334</v>
      </c>
      <c r="M2615" s="3" t="s">
        <v>126</v>
      </c>
      <c r="N2615" s="3" t="s">
        <v>24</v>
      </c>
      <c r="O2615" s="3" t="s">
        <v>25</v>
      </c>
    </row>
    <row r="2616" spans="1:15">
      <c r="A2616" s="3" t="s">
        <v>15</v>
      </c>
      <c r="B2616" s="3" t="str">
        <f>"FES1162742819"</f>
        <v>FES1162742819</v>
      </c>
      <c r="C2616" s="3" t="s">
        <v>1845</v>
      </c>
      <c r="D2616" s="3">
        <v>1</v>
      </c>
      <c r="E2616" s="3" t="str">
        <f>"2170734206"</f>
        <v>2170734206</v>
      </c>
      <c r="F2616" s="3" t="s">
        <v>17</v>
      </c>
      <c r="G2616" s="3" t="s">
        <v>18</v>
      </c>
      <c r="H2616" s="3" t="s">
        <v>100</v>
      </c>
      <c r="I2616" s="3" t="s">
        <v>101</v>
      </c>
      <c r="J2616" s="3" t="s">
        <v>296</v>
      </c>
      <c r="K2616" s="3" t="s">
        <v>1949</v>
      </c>
      <c r="L2616" s="4">
        <v>0.36874999999999997</v>
      </c>
      <c r="M2616" s="3" t="s">
        <v>901</v>
      </c>
      <c r="N2616" s="3" t="s">
        <v>24</v>
      </c>
      <c r="O2616" s="3" t="s">
        <v>25</v>
      </c>
    </row>
    <row r="2617" spans="1:15">
      <c r="A2617" s="5" t="s">
        <v>15</v>
      </c>
      <c r="B2617" s="5" t="str">
        <f>"FES1162742835"</f>
        <v>FES1162742835</v>
      </c>
      <c r="C2617" s="5" t="s">
        <v>1845</v>
      </c>
      <c r="D2617" s="5">
        <v>1</v>
      </c>
      <c r="E2617" s="5" t="str">
        <f>"2170730198"</f>
        <v>2170730198</v>
      </c>
      <c r="F2617" s="5" t="s">
        <v>17</v>
      </c>
      <c r="G2617" s="5" t="s">
        <v>18</v>
      </c>
      <c r="H2617" s="5" t="s">
        <v>100</v>
      </c>
      <c r="I2617" s="5" t="s">
        <v>101</v>
      </c>
      <c r="J2617" s="5" t="s">
        <v>921</v>
      </c>
      <c r="K2617" s="5" t="s">
        <v>1949</v>
      </c>
      <c r="L2617" s="6">
        <v>0.33402777777777781</v>
      </c>
      <c r="M2617" s="5" t="s">
        <v>922</v>
      </c>
      <c r="N2617" s="5" t="s">
        <v>24</v>
      </c>
      <c r="O2617" s="5" t="s">
        <v>25</v>
      </c>
    </row>
    <row r="2618" spans="1:15">
      <c r="A2618" s="5" t="s">
        <v>15</v>
      </c>
      <c r="B2618" s="5" t="str">
        <f>"FES1162742839"</f>
        <v>FES1162742839</v>
      </c>
      <c r="C2618" s="5" t="s">
        <v>1845</v>
      </c>
      <c r="D2618" s="5">
        <v>1</v>
      </c>
      <c r="E2618" s="5" t="str">
        <f>"2170734228"</f>
        <v>2170734228</v>
      </c>
      <c r="F2618" s="5" t="s">
        <v>17</v>
      </c>
      <c r="G2618" s="5" t="s">
        <v>18</v>
      </c>
      <c r="H2618" s="5" t="s">
        <v>1069</v>
      </c>
      <c r="I2618" s="5" t="s">
        <v>2047</v>
      </c>
      <c r="J2618" s="5" t="s">
        <v>2048</v>
      </c>
      <c r="K2618" s="5" t="s">
        <v>1949</v>
      </c>
      <c r="L2618" s="6">
        <v>0.36388888888888887</v>
      </c>
      <c r="M2618" s="5" t="s">
        <v>2049</v>
      </c>
      <c r="N2618" s="5" t="s">
        <v>24</v>
      </c>
      <c r="O2618" s="5" t="s">
        <v>25</v>
      </c>
    </row>
    <row r="2619" spans="1:15">
      <c r="A2619" s="5" t="s">
        <v>15</v>
      </c>
      <c r="B2619" s="5" t="str">
        <f>"FES1162742728"</f>
        <v>FES1162742728</v>
      </c>
      <c r="C2619" s="5" t="s">
        <v>1845</v>
      </c>
      <c r="D2619" s="5">
        <v>1</v>
      </c>
      <c r="E2619" s="5" t="str">
        <f>"2170733460"</f>
        <v>2170733460</v>
      </c>
      <c r="F2619" s="5" t="s">
        <v>17</v>
      </c>
      <c r="G2619" s="5" t="s">
        <v>18</v>
      </c>
      <c r="H2619" s="5" t="s">
        <v>18</v>
      </c>
      <c r="I2619" s="5" t="s">
        <v>171</v>
      </c>
      <c r="J2619" s="5" t="s">
        <v>197</v>
      </c>
      <c r="K2619" s="5" t="s">
        <v>1949</v>
      </c>
      <c r="L2619" s="6">
        <v>0.38541666666666669</v>
      </c>
      <c r="M2619" s="5" t="s">
        <v>198</v>
      </c>
      <c r="N2619" s="5" t="s">
        <v>24</v>
      </c>
      <c r="O2619" s="5" t="s">
        <v>25</v>
      </c>
    </row>
    <row r="2620" spans="1:15">
      <c r="A2620" s="5" t="s">
        <v>15</v>
      </c>
      <c r="B2620" s="5" t="str">
        <f>"FES1162742830"</f>
        <v>FES1162742830</v>
      </c>
      <c r="C2620" s="5" t="s">
        <v>1845</v>
      </c>
      <c r="D2620" s="5">
        <v>1</v>
      </c>
      <c r="E2620" s="5" t="str">
        <f>"2170734221"</f>
        <v>2170734221</v>
      </c>
      <c r="F2620" s="5" t="s">
        <v>17</v>
      </c>
      <c r="G2620" s="5" t="s">
        <v>18</v>
      </c>
      <c r="H2620" s="5" t="s">
        <v>18</v>
      </c>
      <c r="I2620" s="5" t="s">
        <v>222</v>
      </c>
      <c r="J2620" s="5" t="s">
        <v>716</v>
      </c>
      <c r="K2620" s="5" t="s">
        <v>1949</v>
      </c>
      <c r="L2620" s="6">
        <v>0.38541666666666669</v>
      </c>
      <c r="M2620" s="5" t="s">
        <v>2050</v>
      </c>
      <c r="N2620" s="5" t="s">
        <v>24</v>
      </c>
      <c r="O2620" s="5" t="s">
        <v>2051</v>
      </c>
    </row>
    <row r="2621" spans="1:15">
      <c r="A2621" s="5" t="s">
        <v>15</v>
      </c>
      <c r="B2621" s="5" t="str">
        <f>"FES1162742836"</f>
        <v>FES1162742836</v>
      </c>
      <c r="C2621" s="5" t="s">
        <v>1845</v>
      </c>
      <c r="D2621" s="5">
        <v>1</v>
      </c>
      <c r="E2621" s="5" t="str">
        <f>"2170734225"</f>
        <v>2170734225</v>
      </c>
      <c r="F2621" s="5" t="s">
        <v>17</v>
      </c>
      <c r="G2621" s="5" t="s">
        <v>18</v>
      </c>
      <c r="H2621" s="5" t="s">
        <v>100</v>
      </c>
      <c r="I2621" s="5" t="s">
        <v>117</v>
      </c>
      <c r="J2621" s="5" t="s">
        <v>1789</v>
      </c>
      <c r="K2621" s="5" t="s">
        <v>1949</v>
      </c>
      <c r="L2621" s="6">
        <v>0.45763888888888887</v>
      </c>
      <c r="M2621" s="5" t="s">
        <v>2052</v>
      </c>
      <c r="N2621" s="5" t="s">
        <v>24</v>
      </c>
      <c r="O2621" s="5" t="s">
        <v>25</v>
      </c>
    </row>
    <row r="2622" spans="1:15">
      <c r="A2622" s="5" t="s">
        <v>15</v>
      </c>
      <c r="B2622" s="5" t="str">
        <f>"FES1162742790"</f>
        <v>FES1162742790</v>
      </c>
      <c r="C2622" s="5" t="s">
        <v>1845</v>
      </c>
      <c r="D2622" s="5">
        <v>1</v>
      </c>
      <c r="E2622" s="5" t="str">
        <f>"2170734099"</f>
        <v>2170734099</v>
      </c>
      <c r="F2622" s="5" t="s">
        <v>17</v>
      </c>
      <c r="G2622" s="5" t="s">
        <v>18</v>
      </c>
      <c r="H2622" s="5" t="s">
        <v>18</v>
      </c>
      <c r="I2622" s="5" t="s">
        <v>33</v>
      </c>
      <c r="J2622" s="5" t="s">
        <v>2053</v>
      </c>
      <c r="K2622" s="5" t="s">
        <v>1949</v>
      </c>
      <c r="L2622" s="6">
        <v>0.45763888888888887</v>
      </c>
      <c r="M2622" s="5" t="s">
        <v>2054</v>
      </c>
      <c r="N2622" s="5" t="s">
        <v>24</v>
      </c>
      <c r="O2622" s="5" t="s">
        <v>25</v>
      </c>
    </row>
    <row r="2623" spans="1:15">
      <c r="A2623" s="5" t="s">
        <v>15</v>
      </c>
      <c r="B2623" s="5" t="str">
        <f>"FES1162742735"</f>
        <v>FES1162742735</v>
      </c>
      <c r="C2623" s="5" t="s">
        <v>1845</v>
      </c>
      <c r="D2623" s="5">
        <v>1</v>
      </c>
      <c r="E2623" s="5" t="str">
        <f>"2170733855"</f>
        <v>2170733855</v>
      </c>
      <c r="F2623" s="5" t="s">
        <v>17</v>
      </c>
      <c r="G2623" s="5" t="s">
        <v>18</v>
      </c>
      <c r="H2623" s="5" t="s">
        <v>18</v>
      </c>
      <c r="I2623" s="5" t="s">
        <v>171</v>
      </c>
      <c r="J2623" s="5" t="s">
        <v>197</v>
      </c>
      <c r="K2623" s="5" t="s">
        <v>1949</v>
      </c>
      <c r="L2623" s="6">
        <v>0.38541666666666669</v>
      </c>
      <c r="M2623" s="5" t="s">
        <v>198</v>
      </c>
      <c r="N2623" s="5" t="s">
        <v>24</v>
      </c>
      <c r="O2623" s="5" t="s">
        <v>25</v>
      </c>
    </row>
    <row r="2624" spans="1:15">
      <c r="A2624" s="5" t="s">
        <v>15</v>
      </c>
      <c r="B2624" s="5" t="str">
        <f>"FES1162742791"</f>
        <v>FES1162742791</v>
      </c>
      <c r="C2624" s="5" t="s">
        <v>1845</v>
      </c>
      <c r="D2624" s="5">
        <v>1</v>
      </c>
      <c r="E2624" s="5" t="str">
        <f>"2170733560"</f>
        <v>2170733560</v>
      </c>
      <c r="F2624" s="5" t="s">
        <v>17</v>
      </c>
      <c r="G2624" s="5" t="s">
        <v>18</v>
      </c>
      <c r="H2624" s="5" t="s">
        <v>18</v>
      </c>
      <c r="I2624" s="5" t="s">
        <v>33</v>
      </c>
      <c r="J2624" s="5" t="s">
        <v>2053</v>
      </c>
      <c r="K2624" s="5" t="s">
        <v>1949</v>
      </c>
      <c r="L2624" s="6">
        <v>0.38541666666666669</v>
      </c>
      <c r="M2624" s="5" t="s">
        <v>2054</v>
      </c>
      <c r="N2624" s="5" t="s">
        <v>24</v>
      </c>
      <c r="O2624" s="5" t="s">
        <v>25</v>
      </c>
    </row>
    <row r="2625" spans="1:15">
      <c r="A2625" s="5" t="s">
        <v>15</v>
      </c>
      <c r="B2625" s="5" t="str">
        <f>"FES1162742805"</f>
        <v>FES1162742805</v>
      </c>
      <c r="C2625" s="5" t="s">
        <v>1845</v>
      </c>
      <c r="D2625" s="5">
        <v>1</v>
      </c>
      <c r="E2625" s="5" t="str">
        <f>"2170734192"</f>
        <v>2170734192</v>
      </c>
      <c r="F2625" s="5" t="s">
        <v>17</v>
      </c>
      <c r="G2625" s="5" t="s">
        <v>18</v>
      </c>
      <c r="H2625" s="5" t="s">
        <v>19</v>
      </c>
      <c r="I2625" s="5" t="s">
        <v>20</v>
      </c>
      <c r="J2625" s="5" t="s">
        <v>446</v>
      </c>
      <c r="K2625" s="5" t="s">
        <v>1949</v>
      </c>
      <c r="L2625" s="6">
        <v>0.41319444444444442</v>
      </c>
      <c r="M2625" s="5" t="s">
        <v>666</v>
      </c>
      <c r="N2625" s="5" t="s">
        <v>24</v>
      </c>
      <c r="O2625" s="5" t="s">
        <v>25</v>
      </c>
    </row>
    <row r="2626" spans="1:15">
      <c r="A2626" s="5" t="s">
        <v>15</v>
      </c>
      <c r="B2626" s="5" t="str">
        <f>"FES1162742770"</f>
        <v>FES1162742770</v>
      </c>
      <c r="C2626" s="5" t="s">
        <v>1845</v>
      </c>
      <c r="D2626" s="5">
        <v>1</v>
      </c>
      <c r="E2626" s="5" t="str">
        <f>"2170734146"</f>
        <v>2170734146</v>
      </c>
      <c r="F2626" s="5" t="s">
        <v>17</v>
      </c>
      <c r="G2626" s="5" t="s">
        <v>18</v>
      </c>
      <c r="H2626" s="5" t="s">
        <v>66</v>
      </c>
      <c r="I2626" s="5" t="s">
        <v>67</v>
      </c>
      <c r="J2626" s="5" t="s">
        <v>138</v>
      </c>
      <c r="K2626" s="5" t="s">
        <v>1949</v>
      </c>
      <c r="L2626" s="6">
        <v>0.39583333333333331</v>
      </c>
      <c r="M2626" s="5" t="s">
        <v>268</v>
      </c>
      <c r="N2626" s="5" t="s">
        <v>24</v>
      </c>
      <c r="O2626" s="5" t="s">
        <v>25</v>
      </c>
    </row>
    <row r="2627" spans="1:15">
      <c r="A2627" s="3" t="s">
        <v>15</v>
      </c>
      <c r="B2627" s="3" t="str">
        <f>"FES1162742619"</f>
        <v>FES1162742619</v>
      </c>
      <c r="C2627" s="3" t="s">
        <v>1845</v>
      </c>
      <c r="D2627" s="3">
        <v>1</v>
      </c>
      <c r="E2627" s="3" t="str">
        <f>"2170732704"</f>
        <v>2170732704</v>
      </c>
      <c r="F2627" s="3" t="s">
        <v>17</v>
      </c>
      <c r="G2627" s="3" t="s">
        <v>18</v>
      </c>
      <c r="H2627" s="3" t="s">
        <v>18</v>
      </c>
      <c r="I2627" s="3" t="s">
        <v>33</v>
      </c>
      <c r="J2627" s="3" t="s">
        <v>1135</v>
      </c>
      <c r="K2627" s="3" t="s">
        <v>1949</v>
      </c>
      <c r="L2627" s="4">
        <v>0.41736111111111113</v>
      </c>
      <c r="M2627" s="3" t="s">
        <v>1343</v>
      </c>
      <c r="N2627" s="3" t="s">
        <v>24</v>
      </c>
      <c r="O2627" s="3" t="s">
        <v>25</v>
      </c>
    </row>
    <row r="2628" spans="1:15">
      <c r="A2628" s="3" t="s">
        <v>15</v>
      </c>
      <c r="B2628" s="3" t="str">
        <f>"FES1162742821"</f>
        <v>FES1162742821</v>
      </c>
      <c r="C2628" s="3" t="s">
        <v>1845</v>
      </c>
      <c r="D2628" s="3">
        <v>1</v>
      </c>
      <c r="E2628" s="3" t="str">
        <f>"2170734209"</f>
        <v>2170734209</v>
      </c>
      <c r="F2628" s="3" t="s">
        <v>17</v>
      </c>
      <c r="G2628" s="3" t="s">
        <v>18</v>
      </c>
      <c r="H2628" s="3" t="s">
        <v>18</v>
      </c>
      <c r="I2628" s="3" t="s">
        <v>33</v>
      </c>
      <c r="J2628" s="3" t="s">
        <v>34</v>
      </c>
      <c r="K2628" s="3" t="s">
        <v>1949</v>
      </c>
      <c r="L2628" s="4">
        <v>0.40069444444444446</v>
      </c>
      <c r="M2628" s="3" t="s">
        <v>1995</v>
      </c>
      <c r="N2628" s="3" t="s">
        <v>24</v>
      </c>
      <c r="O2628" s="3" t="s">
        <v>25</v>
      </c>
    </row>
    <row r="2629" spans="1:15">
      <c r="A2629" s="3" t="s">
        <v>15</v>
      </c>
      <c r="B2629" s="3" t="str">
        <f>"FES1162742825"</f>
        <v>FES1162742825</v>
      </c>
      <c r="C2629" s="3" t="s">
        <v>1845</v>
      </c>
      <c r="D2629" s="3">
        <v>1</v>
      </c>
      <c r="E2629" s="3" t="str">
        <f>"2170734212"</f>
        <v>2170734212</v>
      </c>
      <c r="F2629" s="3" t="s">
        <v>17</v>
      </c>
      <c r="G2629" s="3" t="s">
        <v>18</v>
      </c>
      <c r="H2629" s="3" t="s">
        <v>18</v>
      </c>
      <c r="I2629" s="3" t="s">
        <v>338</v>
      </c>
      <c r="J2629" s="3" t="s">
        <v>199</v>
      </c>
      <c r="K2629" s="3" t="s">
        <v>1949</v>
      </c>
      <c r="L2629" s="4">
        <v>0.3576388888888889</v>
      </c>
      <c r="M2629" s="3" t="s">
        <v>1127</v>
      </c>
      <c r="N2629" s="3" t="s">
        <v>24</v>
      </c>
      <c r="O2629" s="3" t="s">
        <v>25</v>
      </c>
    </row>
    <row r="2630" spans="1:15">
      <c r="A2630" s="3" t="s">
        <v>15</v>
      </c>
      <c r="B2630" s="3" t="str">
        <f>"FES1162742612"</f>
        <v>FES1162742612</v>
      </c>
      <c r="C2630" s="3" t="s">
        <v>1845</v>
      </c>
      <c r="D2630" s="3">
        <v>1</v>
      </c>
      <c r="E2630" s="3" t="str">
        <f>"2170732230"</f>
        <v>2170732230</v>
      </c>
      <c r="F2630" s="3" t="s">
        <v>17</v>
      </c>
      <c r="G2630" s="3" t="s">
        <v>18</v>
      </c>
      <c r="H2630" s="3" t="s">
        <v>18</v>
      </c>
      <c r="I2630" s="3" t="s">
        <v>29</v>
      </c>
      <c r="J2630" s="3" t="s">
        <v>225</v>
      </c>
      <c r="K2630" s="3" t="s">
        <v>1949</v>
      </c>
      <c r="L2630" s="4">
        <v>0.39444444444444443</v>
      </c>
      <c r="M2630" s="3" t="s">
        <v>226</v>
      </c>
      <c r="N2630" s="3" t="s">
        <v>24</v>
      </c>
      <c r="O2630" s="3" t="s">
        <v>25</v>
      </c>
    </row>
    <row r="2631" spans="1:15">
      <c r="A2631" s="3" t="s">
        <v>15</v>
      </c>
      <c r="B2631" s="3" t="str">
        <f>"FES1162742834"</f>
        <v>FES1162742834</v>
      </c>
      <c r="C2631" s="3" t="s">
        <v>1845</v>
      </c>
      <c r="D2631" s="3">
        <v>1</v>
      </c>
      <c r="E2631" s="3" t="str">
        <f>"2170732098"</f>
        <v>2170732098</v>
      </c>
      <c r="F2631" s="3" t="s">
        <v>17</v>
      </c>
      <c r="G2631" s="3" t="s">
        <v>18</v>
      </c>
      <c r="H2631" s="3" t="s">
        <v>19</v>
      </c>
      <c r="I2631" s="3" t="s">
        <v>20</v>
      </c>
      <c r="J2631" s="3" t="s">
        <v>1223</v>
      </c>
      <c r="K2631" s="3" t="s">
        <v>1949</v>
      </c>
      <c r="L2631" s="4">
        <v>0.41666666666666669</v>
      </c>
      <c r="M2631" s="3" t="s">
        <v>2055</v>
      </c>
      <c r="N2631" s="3" t="s">
        <v>24</v>
      </c>
      <c r="O2631" s="3" t="s">
        <v>25</v>
      </c>
    </row>
    <row r="2632" spans="1:15">
      <c r="A2632" s="3" t="s">
        <v>15</v>
      </c>
      <c r="B2632" s="3" t="str">
        <f>"FES1162742833"</f>
        <v>FES1162742833</v>
      </c>
      <c r="C2632" s="3" t="s">
        <v>1845</v>
      </c>
      <c r="D2632" s="3">
        <v>1</v>
      </c>
      <c r="E2632" s="3" t="str">
        <f>"2170734224"</f>
        <v>2170734224</v>
      </c>
      <c r="F2632" s="3" t="s">
        <v>17</v>
      </c>
      <c r="G2632" s="3" t="s">
        <v>18</v>
      </c>
      <c r="H2632" s="3" t="s">
        <v>19</v>
      </c>
      <c r="I2632" s="3" t="s">
        <v>20</v>
      </c>
      <c r="J2632" s="3" t="s">
        <v>56</v>
      </c>
      <c r="K2632" s="3" t="s">
        <v>1949</v>
      </c>
      <c r="L2632" s="4">
        <v>0.36319444444444443</v>
      </c>
      <c r="M2632" s="3" t="s">
        <v>57</v>
      </c>
      <c r="N2632" s="3" t="s">
        <v>24</v>
      </c>
      <c r="O2632" s="3" t="s">
        <v>25</v>
      </c>
    </row>
    <row r="2633" spans="1:15">
      <c r="A2633" s="3" t="s">
        <v>15</v>
      </c>
      <c r="B2633" s="3" t="str">
        <f>"FES1162742689"</f>
        <v>FES1162742689</v>
      </c>
      <c r="C2633" s="3" t="s">
        <v>1845</v>
      </c>
      <c r="D2633" s="3">
        <v>1</v>
      </c>
      <c r="E2633" s="3" t="str">
        <f>"2170729839"</f>
        <v>2170729839</v>
      </c>
      <c r="F2633" s="3" t="s">
        <v>17</v>
      </c>
      <c r="G2633" s="3" t="s">
        <v>18</v>
      </c>
      <c r="H2633" s="3" t="s">
        <v>66</v>
      </c>
      <c r="I2633" s="3" t="s">
        <v>67</v>
      </c>
      <c r="J2633" s="3" t="s">
        <v>166</v>
      </c>
      <c r="K2633" s="3" t="s">
        <v>1949</v>
      </c>
      <c r="L2633" s="4">
        <v>0.3527777777777778</v>
      </c>
      <c r="M2633" s="3" t="s">
        <v>2056</v>
      </c>
      <c r="N2633" s="3" t="s">
        <v>24</v>
      </c>
      <c r="O2633" s="3" t="s">
        <v>25</v>
      </c>
    </row>
    <row r="2634" spans="1:15">
      <c r="A2634" s="3" t="s">
        <v>15</v>
      </c>
      <c r="B2634" s="3" t="str">
        <f>"FES1162742826"</f>
        <v>FES1162742826</v>
      </c>
      <c r="C2634" s="3" t="s">
        <v>1845</v>
      </c>
      <c r="D2634" s="3">
        <v>1</v>
      </c>
      <c r="E2634" s="3" t="str">
        <f>"2170734215"</f>
        <v>2170734215</v>
      </c>
      <c r="F2634" s="3" t="s">
        <v>17</v>
      </c>
      <c r="G2634" s="3" t="s">
        <v>18</v>
      </c>
      <c r="H2634" s="3" t="s">
        <v>19</v>
      </c>
      <c r="I2634" s="3" t="s">
        <v>277</v>
      </c>
      <c r="J2634" s="3" t="s">
        <v>549</v>
      </c>
      <c r="K2634" s="3" t="s">
        <v>1949</v>
      </c>
      <c r="L2634" s="4">
        <v>0.42986111111111108</v>
      </c>
      <c r="M2634" s="3" t="s">
        <v>2057</v>
      </c>
      <c r="N2634" s="3" t="s">
        <v>24</v>
      </c>
      <c r="O2634" s="3" t="s">
        <v>25</v>
      </c>
    </row>
    <row r="2635" spans="1:15">
      <c r="A2635" s="3" t="s">
        <v>15</v>
      </c>
      <c r="B2635" s="3" t="str">
        <f>"FES1162742829"</f>
        <v>FES1162742829</v>
      </c>
      <c r="C2635" s="3" t="s">
        <v>1845</v>
      </c>
      <c r="D2635" s="3">
        <v>1</v>
      </c>
      <c r="E2635" s="3" t="str">
        <f>"2170734220"</f>
        <v>2170734220</v>
      </c>
      <c r="F2635" s="3" t="s">
        <v>17</v>
      </c>
      <c r="G2635" s="3" t="s">
        <v>18</v>
      </c>
      <c r="H2635" s="3" t="s">
        <v>19</v>
      </c>
      <c r="I2635" s="3" t="s">
        <v>20</v>
      </c>
      <c r="J2635" s="3" t="s">
        <v>446</v>
      </c>
      <c r="K2635" s="3" t="s">
        <v>1949</v>
      </c>
      <c r="L2635" s="4">
        <v>0.41319444444444442</v>
      </c>
      <c r="M2635" s="3" t="s">
        <v>666</v>
      </c>
      <c r="N2635" s="3" t="s">
        <v>24</v>
      </c>
      <c r="O2635" s="3" t="s">
        <v>25</v>
      </c>
    </row>
    <row r="2636" spans="1:15">
      <c r="A2636" s="3" t="s">
        <v>15</v>
      </c>
      <c r="B2636" s="3" t="str">
        <f>"FES1162742795"</f>
        <v>FES1162742795</v>
      </c>
      <c r="C2636" s="3" t="s">
        <v>1845</v>
      </c>
      <c r="D2636" s="3">
        <v>1</v>
      </c>
      <c r="E2636" s="3" t="str">
        <f>"2170734181"</f>
        <v>2170734181</v>
      </c>
      <c r="F2636" s="3" t="s">
        <v>17</v>
      </c>
      <c r="G2636" s="3" t="s">
        <v>18</v>
      </c>
      <c r="H2636" s="3" t="s">
        <v>18</v>
      </c>
      <c r="I2636" s="3" t="s">
        <v>580</v>
      </c>
      <c r="J2636" s="3" t="s">
        <v>1453</v>
      </c>
      <c r="K2636" s="3" t="s">
        <v>1949</v>
      </c>
      <c r="L2636" s="4">
        <v>0.43055555555555558</v>
      </c>
      <c r="M2636" s="3" t="s">
        <v>1118</v>
      </c>
      <c r="N2636" s="3" t="s">
        <v>24</v>
      </c>
      <c r="O2636" s="3" t="s">
        <v>25</v>
      </c>
    </row>
    <row r="2637" spans="1:15">
      <c r="A2637" s="3" t="s">
        <v>15</v>
      </c>
      <c r="B2637" s="3" t="str">
        <f>"FES1162742814"</f>
        <v>FES1162742814</v>
      </c>
      <c r="C2637" s="3" t="s">
        <v>1845</v>
      </c>
      <c r="D2637" s="3">
        <v>1</v>
      </c>
      <c r="E2637" s="3" t="str">
        <f>"2170734201"</f>
        <v>2170734201</v>
      </c>
      <c r="F2637" s="3" t="s">
        <v>17</v>
      </c>
      <c r="G2637" s="3" t="s">
        <v>18</v>
      </c>
      <c r="H2637" s="3" t="s">
        <v>18</v>
      </c>
      <c r="I2637" s="3" t="s">
        <v>580</v>
      </c>
      <c r="J2637" s="3" t="s">
        <v>1453</v>
      </c>
      <c r="K2637" s="3" t="s">
        <v>1949</v>
      </c>
      <c r="L2637" s="4">
        <v>0.43055555555555558</v>
      </c>
      <c r="M2637" s="3" t="s">
        <v>1118</v>
      </c>
      <c r="N2637" s="3" t="s">
        <v>24</v>
      </c>
      <c r="O2637" s="3" t="s">
        <v>25</v>
      </c>
    </row>
    <row r="2638" spans="1:15">
      <c r="A2638" s="3" t="s">
        <v>15</v>
      </c>
      <c r="B2638" s="3" t="str">
        <f>"FES1162742803"</f>
        <v>FES1162742803</v>
      </c>
      <c r="C2638" s="3" t="s">
        <v>1845</v>
      </c>
      <c r="D2638" s="3">
        <v>1</v>
      </c>
      <c r="E2638" s="3" t="str">
        <f>"21707374191"</f>
        <v>21707374191</v>
      </c>
      <c r="F2638" s="3" t="s">
        <v>17</v>
      </c>
      <c r="G2638" s="3" t="s">
        <v>18</v>
      </c>
      <c r="H2638" s="3" t="s">
        <v>948</v>
      </c>
      <c r="I2638" s="3" t="s">
        <v>29</v>
      </c>
      <c r="J2638" s="3" t="s">
        <v>307</v>
      </c>
      <c r="K2638" s="3" t="s">
        <v>1949</v>
      </c>
      <c r="L2638" s="4">
        <v>0.33333333333333331</v>
      </c>
      <c r="M2638" s="3" t="s">
        <v>2031</v>
      </c>
      <c r="N2638" s="3" t="s">
        <v>24</v>
      </c>
      <c r="O2638" s="3" t="s">
        <v>25</v>
      </c>
    </row>
    <row r="2639" spans="1:15">
      <c r="A2639" s="3" t="s">
        <v>15</v>
      </c>
      <c r="B2639" s="3" t="str">
        <f>"FES1162742806"</f>
        <v>FES1162742806</v>
      </c>
      <c r="C2639" s="3" t="s">
        <v>1845</v>
      </c>
      <c r="D2639" s="3">
        <v>1</v>
      </c>
      <c r="E2639" s="3" t="str">
        <f>"2170734193"</f>
        <v>2170734193</v>
      </c>
      <c r="F2639" s="3" t="s">
        <v>17</v>
      </c>
      <c r="G2639" s="3" t="s">
        <v>18</v>
      </c>
      <c r="H2639" s="3" t="s">
        <v>46</v>
      </c>
      <c r="I2639" s="3" t="s">
        <v>47</v>
      </c>
      <c r="J2639" s="3" t="s">
        <v>351</v>
      </c>
      <c r="K2639" s="3" t="s">
        <v>1949</v>
      </c>
      <c r="L2639" s="4">
        <v>0.75208333333333333</v>
      </c>
      <c r="M2639" s="3" t="s">
        <v>1726</v>
      </c>
      <c r="N2639" s="3" t="s">
        <v>24</v>
      </c>
      <c r="O2639" s="3" t="s">
        <v>25</v>
      </c>
    </row>
    <row r="2640" spans="1:15">
      <c r="A2640" s="3" t="s">
        <v>15</v>
      </c>
      <c r="B2640" s="3" t="str">
        <f>"FES1162742704"</f>
        <v>FES1162742704</v>
      </c>
      <c r="C2640" s="3" t="s">
        <v>1845</v>
      </c>
      <c r="D2640" s="3">
        <v>1</v>
      </c>
      <c r="E2640" s="3" t="str">
        <f>"2170731840"</f>
        <v>2170731840</v>
      </c>
      <c r="F2640" s="3" t="s">
        <v>17</v>
      </c>
      <c r="G2640" s="3" t="s">
        <v>18</v>
      </c>
      <c r="H2640" s="3" t="s">
        <v>18</v>
      </c>
      <c r="I2640" s="3" t="s">
        <v>33</v>
      </c>
      <c r="J2640" s="3" t="s">
        <v>729</v>
      </c>
      <c r="K2640" s="3" t="s">
        <v>1949</v>
      </c>
      <c r="L2640" s="4">
        <v>0.49513888888888885</v>
      </c>
      <c r="M2640" s="3" t="s">
        <v>729</v>
      </c>
      <c r="N2640" s="3" t="s">
        <v>24</v>
      </c>
      <c r="O2640" s="3" t="s">
        <v>25</v>
      </c>
    </row>
    <row r="2641" spans="1:15">
      <c r="A2641" s="3" t="s">
        <v>15</v>
      </c>
      <c r="B2641" s="3" t="str">
        <f>"FES1162742532"</f>
        <v>FES1162742532</v>
      </c>
      <c r="C2641" s="3" t="s">
        <v>1845</v>
      </c>
      <c r="D2641" s="3">
        <v>1</v>
      </c>
      <c r="E2641" s="3" t="str">
        <f>"2170731841"</f>
        <v>2170731841</v>
      </c>
      <c r="F2641" s="3" t="s">
        <v>17</v>
      </c>
      <c r="G2641" s="3" t="s">
        <v>18</v>
      </c>
      <c r="H2641" s="3" t="s">
        <v>18</v>
      </c>
      <c r="I2641" s="3" t="s">
        <v>33</v>
      </c>
      <c r="J2641" s="3" t="s">
        <v>729</v>
      </c>
      <c r="K2641" s="3" t="s">
        <v>1949</v>
      </c>
      <c r="L2641" s="4">
        <v>0.49444444444444446</v>
      </c>
      <c r="M2641" s="3" t="s">
        <v>729</v>
      </c>
      <c r="N2641" s="3" t="s">
        <v>24</v>
      </c>
      <c r="O2641" s="3" t="s">
        <v>25</v>
      </c>
    </row>
    <row r="2642" spans="1:15">
      <c r="A2642" s="5" t="s">
        <v>15</v>
      </c>
      <c r="B2642" s="5" t="str">
        <f>"FES1162742793"</f>
        <v>FES1162742793</v>
      </c>
      <c r="C2642" s="5" t="s">
        <v>1845</v>
      </c>
      <c r="D2642" s="5">
        <v>1</v>
      </c>
      <c r="E2642" s="5" t="str">
        <f>"2170734177"</f>
        <v>2170734177</v>
      </c>
      <c r="F2642" s="5" t="s">
        <v>17</v>
      </c>
      <c r="G2642" s="5" t="s">
        <v>18</v>
      </c>
      <c r="H2642" s="5" t="s">
        <v>18</v>
      </c>
      <c r="I2642" s="5" t="s">
        <v>33</v>
      </c>
      <c r="J2642" s="5" t="s">
        <v>34</v>
      </c>
      <c r="K2642" s="5" t="s">
        <v>1949</v>
      </c>
      <c r="L2642" s="6">
        <v>0.40138888888888885</v>
      </c>
      <c r="M2642" s="5" t="s">
        <v>1995</v>
      </c>
      <c r="N2642" s="5" t="s">
        <v>24</v>
      </c>
      <c r="O2642" s="5" t="s">
        <v>25</v>
      </c>
    </row>
    <row r="2643" spans="1:15">
      <c r="A2643" s="5" t="s">
        <v>15</v>
      </c>
      <c r="B2643" s="5" t="str">
        <f>"FES1162742809"</f>
        <v>FES1162742809</v>
      </c>
      <c r="C2643" s="5" t="s">
        <v>1845</v>
      </c>
      <c r="D2643" s="5">
        <v>1</v>
      </c>
      <c r="E2643" s="5" t="str">
        <f>"2170734196"</f>
        <v>2170734196</v>
      </c>
      <c r="F2643" s="5" t="s">
        <v>17</v>
      </c>
      <c r="G2643" s="5" t="s">
        <v>18</v>
      </c>
      <c r="H2643" s="5" t="s">
        <v>18</v>
      </c>
      <c r="I2643" s="5" t="s">
        <v>171</v>
      </c>
      <c r="J2643" s="5" t="s">
        <v>204</v>
      </c>
      <c r="K2643" s="5" t="s">
        <v>1949</v>
      </c>
      <c r="L2643" s="6">
        <v>0.4375</v>
      </c>
      <c r="M2643" s="5" t="s">
        <v>1129</v>
      </c>
      <c r="N2643" s="5" t="s">
        <v>24</v>
      </c>
      <c r="O2643" s="5" t="s">
        <v>25</v>
      </c>
    </row>
    <row r="2644" spans="1:15">
      <c r="A2644" s="5" t="s">
        <v>15</v>
      </c>
      <c r="B2644" s="5" t="str">
        <f>"FES1162742854"</f>
        <v>FES1162742854</v>
      </c>
      <c r="C2644" s="5" t="s">
        <v>1845</v>
      </c>
      <c r="D2644" s="5">
        <v>1</v>
      </c>
      <c r="E2644" s="5" t="str">
        <f>"2170734244"</f>
        <v>2170734244</v>
      </c>
      <c r="F2644" s="5" t="s">
        <v>17</v>
      </c>
      <c r="G2644" s="5" t="s">
        <v>18</v>
      </c>
      <c r="H2644" s="5" t="s">
        <v>100</v>
      </c>
      <c r="I2644" s="5" t="s">
        <v>101</v>
      </c>
      <c r="J2644" s="5" t="s">
        <v>614</v>
      </c>
      <c r="K2644" s="5" t="s">
        <v>1949</v>
      </c>
      <c r="L2644" s="6">
        <v>0.35694444444444445</v>
      </c>
      <c r="M2644" s="5" t="s">
        <v>2058</v>
      </c>
      <c r="N2644" s="5" t="s">
        <v>24</v>
      </c>
      <c r="O2644" s="5" t="s">
        <v>25</v>
      </c>
    </row>
    <row r="2645" spans="1:15">
      <c r="A2645" s="5" t="s">
        <v>15</v>
      </c>
      <c r="B2645" s="5" t="str">
        <f>"FES1162742832"</f>
        <v>FES1162742832</v>
      </c>
      <c r="C2645" s="5" t="s">
        <v>1845</v>
      </c>
      <c r="D2645" s="5">
        <v>1</v>
      </c>
      <c r="E2645" s="5" t="str">
        <f>"2170734223"</f>
        <v>2170734223</v>
      </c>
      <c r="F2645" s="5" t="s">
        <v>17</v>
      </c>
      <c r="G2645" s="5" t="s">
        <v>18</v>
      </c>
      <c r="H2645" s="5" t="s">
        <v>19</v>
      </c>
      <c r="I2645" s="5" t="s">
        <v>51</v>
      </c>
      <c r="J2645" s="5" t="s">
        <v>2059</v>
      </c>
      <c r="K2645" s="5" t="s">
        <v>1949</v>
      </c>
      <c r="L2645" s="6">
        <v>0.35694444444444445</v>
      </c>
      <c r="M2645" s="5" t="s">
        <v>603</v>
      </c>
      <c r="N2645" s="5" t="s">
        <v>24</v>
      </c>
      <c r="O2645" s="5" t="s">
        <v>449</v>
      </c>
    </row>
    <row r="2646" spans="1:15">
      <c r="A2646" s="5" t="s">
        <v>15</v>
      </c>
      <c r="B2646" s="5" t="str">
        <f>"FES1162742840"</f>
        <v>FES1162742840</v>
      </c>
      <c r="C2646" s="5" t="s">
        <v>1845</v>
      </c>
      <c r="D2646" s="5">
        <v>1</v>
      </c>
      <c r="E2646" s="5" t="str">
        <f>"2170734229"</f>
        <v>2170734229</v>
      </c>
      <c r="F2646" s="5" t="s">
        <v>17</v>
      </c>
      <c r="G2646" s="5" t="s">
        <v>18</v>
      </c>
      <c r="H2646" s="5" t="s">
        <v>19</v>
      </c>
      <c r="I2646" s="5" t="s">
        <v>20</v>
      </c>
      <c r="J2646" s="5" t="s">
        <v>56</v>
      </c>
      <c r="K2646" s="5" t="s">
        <v>1949</v>
      </c>
      <c r="L2646" s="6">
        <v>0.36319444444444443</v>
      </c>
      <c r="M2646" s="5" t="s">
        <v>57</v>
      </c>
      <c r="N2646" s="5" t="s">
        <v>24</v>
      </c>
      <c r="O2646" s="5" t="s">
        <v>25</v>
      </c>
    </row>
    <row r="2647" spans="1:15">
      <c r="A2647" s="5" t="s">
        <v>15</v>
      </c>
      <c r="B2647" s="5" t="str">
        <f>"FES1162742841"</f>
        <v>FES1162742841</v>
      </c>
      <c r="C2647" s="5" t="s">
        <v>1845</v>
      </c>
      <c r="D2647" s="5">
        <v>1</v>
      </c>
      <c r="E2647" s="5" t="str">
        <f>"2170734230"</f>
        <v>2170734230</v>
      </c>
      <c r="F2647" s="5" t="s">
        <v>17</v>
      </c>
      <c r="G2647" s="5" t="s">
        <v>18</v>
      </c>
      <c r="H2647" s="5" t="s">
        <v>19</v>
      </c>
      <c r="I2647" s="5" t="s">
        <v>236</v>
      </c>
      <c r="J2647" s="5" t="s">
        <v>257</v>
      </c>
      <c r="K2647" s="5" t="s">
        <v>1949</v>
      </c>
      <c r="L2647" s="6">
        <v>0.35069444444444442</v>
      </c>
      <c r="M2647" s="5" t="s">
        <v>819</v>
      </c>
      <c r="N2647" s="5" t="s">
        <v>24</v>
      </c>
      <c r="O2647" s="5" t="s">
        <v>25</v>
      </c>
    </row>
    <row r="2648" spans="1:15">
      <c r="A2648" s="5" t="s">
        <v>15</v>
      </c>
      <c r="B2648" s="5" t="str">
        <f>"FES1162742846"</f>
        <v>FES1162742846</v>
      </c>
      <c r="C2648" s="5" t="s">
        <v>1845</v>
      </c>
      <c r="D2648" s="5">
        <v>1</v>
      </c>
      <c r="E2648" s="5" t="str">
        <f>"2170734235"</f>
        <v>2170734235</v>
      </c>
      <c r="F2648" s="5" t="s">
        <v>17</v>
      </c>
      <c r="G2648" s="5" t="s">
        <v>18</v>
      </c>
      <c r="H2648" s="5" t="s">
        <v>19</v>
      </c>
      <c r="I2648" s="5" t="s">
        <v>51</v>
      </c>
      <c r="J2648" s="5" t="s">
        <v>2060</v>
      </c>
      <c r="K2648" s="5" t="s">
        <v>1949</v>
      </c>
      <c r="L2648" s="6">
        <v>0.31875000000000003</v>
      </c>
      <c r="M2648" s="5" t="s">
        <v>2061</v>
      </c>
      <c r="N2648" s="5" t="s">
        <v>24</v>
      </c>
      <c r="O2648" s="5" t="s">
        <v>25</v>
      </c>
    </row>
    <row r="2649" spans="1:15">
      <c r="A2649" s="5" t="s">
        <v>15</v>
      </c>
      <c r="B2649" s="5" t="str">
        <f>"FES1162742827"</f>
        <v>FES1162742827</v>
      </c>
      <c r="C2649" s="5" t="s">
        <v>1845</v>
      </c>
      <c r="D2649" s="5">
        <v>1</v>
      </c>
      <c r="E2649" s="5" t="str">
        <f>"2170734218"</f>
        <v>2170734218</v>
      </c>
      <c r="F2649" s="5" t="s">
        <v>17</v>
      </c>
      <c r="G2649" s="5" t="s">
        <v>18</v>
      </c>
      <c r="H2649" s="5" t="s">
        <v>36</v>
      </c>
      <c r="I2649" s="5" t="s">
        <v>37</v>
      </c>
      <c r="J2649" s="5" t="s">
        <v>38</v>
      </c>
      <c r="K2649" s="5" t="s">
        <v>1949</v>
      </c>
      <c r="L2649" s="6">
        <v>0.44930555555555557</v>
      </c>
      <c r="M2649" s="5" t="s">
        <v>377</v>
      </c>
      <c r="N2649" s="5" t="s">
        <v>24</v>
      </c>
      <c r="O2649" s="5" t="s">
        <v>25</v>
      </c>
    </row>
    <row r="2650" spans="1:15">
      <c r="A2650" s="5" t="s">
        <v>15</v>
      </c>
      <c r="B2650" s="5" t="str">
        <f>"FES1162742813"</f>
        <v>FES1162742813</v>
      </c>
      <c r="C2650" s="5" t="s">
        <v>1845</v>
      </c>
      <c r="D2650" s="5">
        <v>1</v>
      </c>
      <c r="E2650" s="5" t="str">
        <f>"217073420"</f>
        <v>217073420</v>
      </c>
      <c r="F2650" s="5" t="s">
        <v>17</v>
      </c>
      <c r="G2650" s="5" t="s">
        <v>18</v>
      </c>
      <c r="H2650" s="5" t="s">
        <v>18</v>
      </c>
      <c r="I2650" s="5" t="s">
        <v>313</v>
      </c>
      <c r="J2650" s="5" t="s">
        <v>2062</v>
      </c>
      <c r="K2650" s="5" t="s">
        <v>1949</v>
      </c>
      <c r="L2650" s="6">
        <v>0.3888888888888889</v>
      </c>
      <c r="M2650" s="5" t="s">
        <v>208</v>
      </c>
      <c r="N2650" s="5" t="s">
        <v>24</v>
      </c>
      <c r="O2650" s="5" t="s">
        <v>25</v>
      </c>
    </row>
    <row r="2651" spans="1:15">
      <c r="A2651" s="5" t="s">
        <v>15</v>
      </c>
      <c r="B2651" s="5" t="str">
        <f>"FES1162742848"</f>
        <v>FES1162742848</v>
      </c>
      <c r="C2651" s="5" t="s">
        <v>1845</v>
      </c>
      <c r="D2651" s="5">
        <v>1</v>
      </c>
      <c r="E2651" s="5" t="str">
        <f>"2170734237"</f>
        <v>2170734237</v>
      </c>
      <c r="F2651" s="5" t="s">
        <v>17</v>
      </c>
      <c r="G2651" s="5" t="s">
        <v>18</v>
      </c>
      <c r="H2651" s="5" t="s">
        <v>18</v>
      </c>
      <c r="I2651" s="5" t="s">
        <v>29</v>
      </c>
      <c r="J2651" s="5" t="s">
        <v>640</v>
      </c>
      <c r="K2651" s="5" t="s">
        <v>1949</v>
      </c>
      <c r="L2651" s="6">
        <v>0.43402777777777773</v>
      </c>
      <c r="M2651" s="5" t="s">
        <v>641</v>
      </c>
      <c r="N2651" s="5" t="s">
        <v>24</v>
      </c>
      <c r="O2651" s="5" t="s">
        <v>25</v>
      </c>
    </row>
    <row r="2652" spans="1:15">
      <c r="A2652" s="3" t="s">
        <v>15</v>
      </c>
      <c r="B2652" s="3" t="str">
        <f>"FES1162742810"</f>
        <v>FES1162742810</v>
      </c>
      <c r="C2652" s="3" t="s">
        <v>1845</v>
      </c>
      <c r="D2652" s="3">
        <v>1</v>
      </c>
      <c r="E2652" s="3" t="str">
        <f>"2170734197"</f>
        <v>2170734197</v>
      </c>
      <c r="F2652" s="3" t="s">
        <v>17</v>
      </c>
      <c r="G2652" s="3" t="s">
        <v>18</v>
      </c>
      <c r="H2652" s="3" t="s">
        <v>18</v>
      </c>
      <c r="I2652" s="3" t="s">
        <v>29</v>
      </c>
      <c r="J2652" s="3" t="s">
        <v>356</v>
      </c>
      <c r="K2652" s="3" t="s">
        <v>1949</v>
      </c>
      <c r="L2652" s="4">
        <v>0.3263888888888889</v>
      </c>
      <c r="M2652" s="3" t="s">
        <v>1884</v>
      </c>
      <c r="N2652" s="3" t="s">
        <v>24</v>
      </c>
      <c r="O2652" s="3" t="s">
        <v>25</v>
      </c>
    </row>
    <row r="2653" spans="1:15">
      <c r="A2653" s="3" t="s">
        <v>15</v>
      </c>
      <c r="B2653" s="3" t="str">
        <f>"FES1162742802"</f>
        <v>FES1162742802</v>
      </c>
      <c r="C2653" s="3" t="s">
        <v>1845</v>
      </c>
      <c r="D2653" s="3">
        <v>1</v>
      </c>
      <c r="E2653" s="3" t="str">
        <f>"2170734189"</f>
        <v>2170734189</v>
      </c>
      <c r="F2653" s="3" t="s">
        <v>17</v>
      </c>
      <c r="G2653" s="3" t="s">
        <v>18</v>
      </c>
      <c r="H2653" s="3" t="s">
        <v>18</v>
      </c>
      <c r="I2653" s="3" t="s">
        <v>29</v>
      </c>
      <c r="J2653" s="3" t="s">
        <v>307</v>
      </c>
      <c r="K2653" s="3" t="s">
        <v>1949</v>
      </c>
      <c r="L2653" s="4">
        <v>0.32222222222222224</v>
      </c>
      <c r="M2653" s="3" t="s">
        <v>2031</v>
      </c>
      <c r="N2653" s="3" t="s">
        <v>24</v>
      </c>
      <c r="O2653" s="3" t="s">
        <v>25</v>
      </c>
    </row>
    <row r="2654" spans="1:15">
      <c r="A2654" s="3" t="s">
        <v>15</v>
      </c>
      <c r="B2654" s="3" t="str">
        <f>"FES1162742808"</f>
        <v>FES1162742808</v>
      </c>
      <c r="C2654" s="3" t="s">
        <v>1845</v>
      </c>
      <c r="D2654" s="3">
        <v>1</v>
      </c>
      <c r="E2654" s="3" t="str">
        <f>"2170733423"</f>
        <v>2170733423</v>
      </c>
      <c r="F2654" s="3" t="s">
        <v>17</v>
      </c>
      <c r="G2654" s="3" t="s">
        <v>18</v>
      </c>
      <c r="H2654" s="3" t="s">
        <v>18</v>
      </c>
      <c r="I2654" s="3" t="s">
        <v>453</v>
      </c>
      <c r="J2654" s="3" t="s">
        <v>395</v>
      </c>
      <c r="K2654" s="3" t="s">
        <v>1949</v>
      </c>
      <c r="L2654" s="4">
        <v>0.33333333333333331</v>
      </c>
      <c r="M2654" s="3" t="s">
        <v>1272</v>
      </c>
      <c r="N2654" s="3" t="s">
        <v>24</v>
      </c>
      <c r="O2654" s="3" t="s">
        <v>25</v>
      </c>
    </row>
    <row r="2655" spans="1:15">
      <c r="A2655" s="3" t="s">
        <v>15</v>
      </c>
      <c r="B2655" s="3" t="str">
        <f>"FES1162742849"</f>
        <v>FES1162742849</v>
      </c>
      <c r="C2655" s="3" t="s">
        <v>1845</v>
      </c>
      <c r="D2655" s="3">
        <v>1</v>
      </c>
      <c r="E2655" s="3" t="str">
        <f>"2170734239"</f>
        <v>2170734239</v>
      </c>
      <c r="F2655" s="3" t="s">
        <v>17</v>
      </c>
      <c r="G2655" s="3" t="s">
        <v>18</v>
      </c>
      <c r="H2655" s="3" t="s">
        <v>18</v>
      </c>
      <c r="I2655" s="3" t="s">
        <v>338</v>
      </c>
      <c r="J2655" s="3" t="s">
        <v>2063</v>
      </c>
      <c r="K2655" s="3" t="s">
        <v>1949</v>
      </c>
      <c r="L2655" s="4">
        <v>0.33680555555555558</v>
      </c>
      <c r="M2655" s="3" t="s">
        <v>2064</v>
      </c>
      <c r="N2655" s="3" t="s">
        <v>24</v>
      </c>
      <c r="O2655" s="3" t="s">
        <v>25</v>
      </c>
    </row>
    <row r="2656" spans="1:15">
      <c r="A2656" s="3" t="s">
        <v>15</v>
      </c>
      <c r="B2656" s="3" t="str">
        <f>"FES1162742811"</f>
        <v>FES1162742811</v>
      </c>
      <c r="C2656" s="3" t="s">
        <v>1845</v>
      </c>
      <c r="D2656" s="3">
        <v>1</v>
      </c>
      <c r="E2656" s="3" t="str">
        <f>"2170734198"</f>
        <v>2170734198</v>
      </c>
      <c r="F2656" s="3" t="s">
        <v>17</v>
      </c>
      <c r="G2656" s="3" t="s">
        <v>18</v>
      </c>
      <c r="H2656" s="3" t="s">
        <v>18</v>
      </c>
      <c r="I2656" s="3" t="s">
        <v>29</v>
      </c>
      <c r="J2656" s="3" t="s">
        <v>2065</v>
      </c>
      <c r="K2656" s="3" t="s">
        <v>1949</v>
      </c>
      <c r="L2656" s="4">
        <v>0.30208333333333331</v>
      </c>
      <c r="M2656" s="3" t="s">
        <v>2066</v>
      </c>
      <c r="N2656" s="3" t="s">
        <v>24</v>
      </c>
      <c r="O2656" s="3" t="s">
        <v>25</v>
      </c>
    </row>
    <row r="2657" spans="1:15">
      <c r="A2657" s="3" t="s">
        <v>15</v>
      </c>
      <c r="B2657" s="3" t="str">
        <f>"FES1162742823"</f>
        <v>FES1162742823</v>
      </c>
      <c r="C2657" s="3" t="s">
        <v>1845</v>
      </c>
      <c r="D2657" s="3">
        <v>1</v>
      </c>
      <c r="E2657" s="3" t="str">
        <f>"2170737214"</f>
        <v>2170737214</v>
      </c>
      <c r="F2657" s="3" t="s">
        <v>17</v>
      </c>
      <c r="G2657" s="3" t="s">
        <v>18</v>
      </c>
      <c r="H2657" s="3" t="s">
        <v>18</v>
      </c>
      <c r="I2657" s="3" t="s">
        <v>29</v>
      </c>
      <c r="J2657" s="3" t="s">
        <v>2067</v>
      </c>
      <c r="K2657" s="3" t="s">
        <v>1949</v>
      </c>
      <c r="L2657" s="4">
        <v>0.33958333333333335</v>
      </c>
      <c r="M2657" s="3" t="s">
        <v>2068</v>
      </c>
      <c r="N2657" s="3" t="s">
        <v>24</v>
      </c>
      <c r="O2657" s="3" t="s">
        <v>25</v>
      </c>
    </row>
    <row r="2658" spans="1:15">
      <c r="A2658" s="3" t="s">
        <v>15</v>
      </c>
      <c r="B2658" s="3" t="str">
        <f>"FES1162742824"</f>
        <v>FES1162742824</v>
      </c>
      <c r="C2658" s="3" t="s">
        <v>1845</v>
      </c>
      <c r="D2658" s="3">
        <v>1</v>
      </c>
      <c r="E2658" s="3" t="str">
        <f>"2170734211"</f>
        <v>2170734211</v>
      </c>
      <c r="F2658" s="3" t="s">
        <v>17</v>
      </c>
      <c r="G2658" s="3" t="s">
        <v>18</v>
      </c>
      <c r="H2658" s="3" t="s">
        <v>36</v>
      </c>
      <c r="I2658" s="3" t="s">
        <v>37</v>
      </c>
      <c r="J2658" s="3" t="s">
        <v>585</v>
      </c>
      <c r="K2658" s="3" t="s">
        <v>1949</v>
      </c>
      <c r="L2658" s="4">
        <v>0.53472222222222221</v>
      </c>
      <c r="M2658" s="3" t="s">
        <v>862</v>
      </c>
      <c r="N2658" s="3" t="s">
        <v>24</v>
      </c>
      <c r="O2658" s="3" t="s">
        <v>25</v>
      </c>
    </row>
    <row r="2659" spans="1:15">
      <c r="A2659" s="3" t="s">
        <v>15</v>
      </c>
      <c r="B2659" s="3" t="str">
        <f>"019911311233"</f>
        <v>019911311233</v>
      </c>
      <c r="C2659" s="3" t="s">
        <v>1845</v>
      </c>
      <c r="D2659" s="3">
        <v>1</v>
      </c>
      <c r="E2659" s="3" t="str">
        <f>"1703"</f>
        <v>1703</v>
      </c>
      <c r="F2659" s="3" t="s">
        <v>528</v>
      </c>
      <c r="G2659" s="3" t="s">
        <v>100</v>
      </c>
      <c r="H2659" s="3" t="s">
        <v>948</v>
      </c>
      <c r="I2659" s="3" t="s">
        <v>29</v>
      </c>
      <c r="J2659" s="3" t="s">
        <v>635</v>
      </c>
      <c r="K2659" s="3" t="s">
        <v>1949</v>
      </c>
      <c r="L2659" s="4">
        <v>0.53472222222222221</v>
      </c>
      <c r="M2659" s="3" t="s">
        <v>603</v>
      </c>
      <c r="N2659" s="3" t="s">
        <v>24</v>
      </c>
      <c r="O2659" s="3" t="s">
        <v>25</v>
      </c>
    </row>
    <row r="2660" spans="1:15">
      <c r="A2660" s="3" t="s">
        <v>15</v>
      </c>
      <c r="B2660" s="3" t="str">
        <f>"009938430506"</f>
        <v>009938430506</v>
      </c>
      <c r="C2660" s="3" t="s">
        <v>1845</v>
      </c>
      <c r="D2660" s="3">
        <v>1</v>
      </c>
      <c r="E2660" s="3" t="str">
        <f>""</f>
        <v/>
      </c>
      <c r="F2660" s="3" t="s">
        <v>528</v>
      </c>
      <c r="G2660" s="3" t="s">
        <v>2069</v>
      </c>
      <c r="H2660" s="3" t="s">
        <v>948</v>
      </c>
      <c r="I2660" s="3" t="s">
        <v>29</v>
      </c>
      <c r="J2660" s="3" t="s">
        <v>529</v>
      </c>
      <c r="K2660" s="3" t="s">
        <v>1949</v>
      </c>
      <c r="L2660" s="4">
        <v>0.36458333333333331</v>
      </c>
      <c r="M2660" s="3" t="s">
        <v>777</v>
      </c>
      <c r="N2660" s="3" t="s">
        <v>24</v>
      </c>
      <c r="O2660" s="3" t="s">
        <v>25</v>
      </c>
    </row>
    <row r="2661" spans="1:15">
      <c r="A2661" s="3" t="s">
        <v>15</v>
      </c>
      <c r="B2661" s="3" t="str">
        <f>"FES1162742921"</f>
        <v>FES1162742921</v>
      </c>
      <c r="C2661" s="3" t="s">
        <v>1949</v>
      </c>
      <c r="D2661" s="3">
        <v>1</v>
      </c>
      <c r="E2661" s="3" t="str">
        <f>"2170734255"</f>
        <v>2170734255</v>
      </c>
      <c r="F2661" s="3" t="s">
        <v>17</v>
      </c>
      <c r="G2661" s="3" t="s">
        <v>18</v>
      </c>
      <c r="H2661" s="3" t="s">
        <v>18</v>
      </c>
      <c r="I2661" s="3" t="s">
        <v>180</v>
      </c>
      <c r="J2661" s="3" t="s">
        <v>1100</v>
      </c>
      <c r="K2661" s="3" t="s">
        <v>1966</v>
      </c>
      <c r="L2661" s="4">
        <v>0.33333333333333331</v>
      </c>
      <c r="M2661" s="3" t="s">
        <v>1101</v>
      </c>
      <c r="N2661" s="3" t="s">
        <v>24</v>
      </c>
      <c r="O2661" s="3" t="s">
        <v>25</v>
      </c>
    </row>
    <row r="2662" spans="1:15">
      <c r="A2662" s="3" t="s">
        <v>15</v>
      </c>
      <c r="B2662" s="3" t="str">
        <f>"FES1162742908"</f>
        <v>FES1162742908</v>
      </c>
      <c r="C2662" s="3" t="s">
        <v>1949</v>
      </c>
      <c r="D2662" s="3">
        <v>1</v>
      </c>
      <c r="E2662" s="3" t="str">
        <f>"2170732960"</f>
        <v>2170732960</v>
      </c>
      <c r="F2662" s="3" t="s">
        <v>17</v>
      </c>
      <c r="G2662" s="3" t="s">
        <v>18</v>
      </c>
      <c r="H2662" s="3" t="s">
        <v>18</v>
      </c>
      <c r="I2662" s="3" t="s">
        <v>168</v>
      </c>
      <c r="J2662" s="3" t="s">
        <v>1177</v>
      </c>
      <c r="K2662" s="3" t="s">
        <v>1966</v>
      </c>
      <c r="L2662" s="4">
        <v>0.39305555555555555</v>
      </c>
      <c r="M2662" s="3" t="s">
        <v>1504</v>
      </c>
      <c r="N2662" s="3" t="s">
        <v>24</v>
      </c>
      <c r="O2662" s="3" t="s">
        <v>25</v>
      </c>
    </row>
    <row r="2663" spans="1:15">
      <c r="A2663" s="3" t="s">
        <v>15</v>
      </c>
      <c r="B2663" s="3" t="str">
        <f>"FES1162742915"</f>
        <v>FES1162742915</v>
      </c>
      <c r="C2663" s="3" t="s">
        <v>1949</v>
      </c>
      <c r="D2663" s="3">
        <v>1</v>
      </c>
      <c r="E2663" s="3" t="str">
        <f>"2170733740"</f>
        <v>2170733740</v>
      </c>
      <c r="F2663" s="3" t="s">
        <v>17</v>
      </c>
      <c r="G2663" s="3" t="s">
        <v>18</v>
      </c>
      <c r="H2663" s="3" t="s">
        <v>18</v>
      </c>
      <c r="I2663" s="3" t="s">
        <v>163</v>
      </c>
      <c r="J2663" s="3" t="s">
        <v>1839</v>
      </c>
      <c r="K2663" s="3" t="s">
        <v>1966</v>
      </c>
      <c r="L2663" s="4">
        <v>0.33333333333333331</v>
      </c>
      <c r="M2663" s="3" t="s">
        <v>2070</v>
      </c>
      <c r="N2663" s="3" t="s">
        <v>24</v>
      </c>
      <c r="O2663" s="3" t="s">
        <v>25</v>
      </c>
    </row>
    <row r="2664" spans="1:15">
      <c r="A2664" s="3" t="s">
        <v>15</v>
      </c>
      <c r="B2664" s="3" t="str">
        <f>"FES1162742945"</f>
        <v>FES1162742945</v>
      </c>
      <c r="C2664" s="3" t="s">
        <v>1949</v>
      </c>
      <c r="D2664" s="3">
        <v>1</v>
      </c>
      <c r="E2664" s="3" t="str">
        <f>"2170734680"</f>
        <v>2170734680</v>
      </c>
      <c r="F2664" s="3" t="s">
        <v>17</v>
      </c>
      <c r="G2664" s="3" t="s">
        <v>18</v>
      </c>
      <c r="H2664" s="3" t="s">
        <v>36</v>
      </c>
      <c r="I2664" s="3" t="s">
        <v>37</v>
      </c>
      <c r="J2664" s="3" t="s">
        <v>2071</v>
      </c>
      <c r="K2664" s="3" t="s">
        <v>1966</v>
      </c>
      <c r="L2664" s="4">
        <v>0.3972222222222222</v>
      </c>
      <c r="M2664" s="3" t="s">
        <v>2072</v>
      </c>
      <c r="N2664" s="3" t="s">
        <v>24</v>
      </c>
      <c r="O2664" s="3" t="s">
        <v>25</v>
      </c>
    </row>
    <row r="2665" spans="1:15">
      <c r="A2665" s="3" t="s">
        <v>15</v>
      </c>
      <c r="B2665" s="3" t="str">
        <f>"FES1162743074"</f>
        <v>FES1162743074</v>
      </c>
      <c r="C2665" s="3" t="s">
        <v>1949</v>
      </c>
      <c r="D2665" s="3">
        <v>1</v>
      </c>
      <c r="E2665" s="3" t="str">
        <f>"2170734449"</f>
        <v>2170734449</v>
      </c>
      <c r="F2665" s="3" t="s">
        <v>17</v>
      </c>
      <c r="G2665" s="3" t="s">
        <v>18</v>
      </c>
      <c r="H2665" s="3" t="s">
        <v>66</v>
      </c>
      <c r="I2665" s="3" t="s">
        <v>67</v>
      </c>
      <c r="J2665" s="3" t="s">
        <v>2073</v>
      </c>
      <c r="K2665" s="3" t="s">
        <v>1966</v>
      </c>
      <c r="L2665" s="4">
        <v>0.34375</v>
      </c>
      <c r="M2665" s="3" t="s">
        <v>2074</v>
      </c>
      <c r="N2665" s="3" t="s">
        <v>24</v>
      </c>
      <c r="O2665" s="3" t="s">
        <v>25</v>
      </c>
    </row>
    <row r="2666" spans="1:15">
      <c r="A2666" s="3" t="s">
        <v>15</v>
      </c>
      <c r="B2666" s="3" t="str">
        <f>"FES1162743032"</f>
        <v>FES1162743032</v>
      </c>
      <c r="C2666" s="3" t="s">
        <v>1949</v>
      </c>
      <c r="D2666" s="3">
        <v>1</v>
      </c>
      <c r="E2666" s="3" t="str">
        <f>"2170734388"</f>
        <v>2170734388</v>
      </c>
      <c r="F2666" s="3" t="s">
        <v>17</v>
      </c>
      <c r="G2666" s="3" t="s">
        <v>18</v>
      </c>
      <c r="H2666" s="3" t="s">
        <v>19</v>
      </c>
      <c r="I2666" s="3" t="s">
        <v>51</v>
      </c>
      <c r="J2666" s="3" t="s">
        <v>129</v>
      </c>
      <c r="K2666" s="3" t="s">
        <v>1966</v>
      </c>
      <c r="L2666" s="4">
        <v>0.56736111111111109</v>
      </c>
      <c r="M2666" s="3" t="s">
        <v>2075</v>
      </c>
      <c r="N2666" s="3" t="s">
        <v>24</v>
      </c>
      <c r="O2666" s="3" t="s">
        <v>25</v>
      </c>
    </row>
    <row r="2667" spans="1:15">
      <c r="A2667" s="3" t="s">
        <v>15</v>
      </c>
      <c r="B2667" s="3" t="str">
        <f>"FES1162742863"</f>
        <v>FES1162742863</v>
      </c>
      <c r="C2667" s="3" t="s">
        <v>1949</v>
      </c>
      <c r="D2667" s="3">
        <v>1</v>
      </c>
      <c r="E2667" s="3" t="str">
        <f>"2170731207"</f>
        <v>2170731207</v>
      </c>
      <c r="F2667" s="3" t="s">
        <v>17</v>
      </c>
      <c r="G2667" s="3" t="s">
        <v>18</v>
      </c>
      <c r="H2667" s="3" t="s">
        <v>36</v>
      </c>
      <c r="I2667" s="3" t="s">
        <v>37</v>
      </c>
      <c r="J2667" s="3" t="s">
        <v>187</v>
      </c>
      <c r="K2667" s="3" t="s">
        <v>1966</v>
      </c>
      <c r="L2667" s="4">
        <v>0.37361111111111112</v>
      </c>
      <c r="M2667" s="3" t="s">
        <v>188</v>
      </c>
      <c r="N2667" s="3" t="s">
        <v>24</v>
      </c>
      <c r="O2667" s="3" t="s">
        <v>25</v>
      </c>
    </row>
    <row r="2668" spans="1:15">
      <c r="A2668" s="3" t="s">
        <v>15</v>
      </c>
      <c r="B2668" s="3" t="str">
        <f>"FES1162742919"</f>
        <v>FES1162742919</v>
      </c>
      <c r="C2668" s="3" t="s">
        <v>1949</v>
      </c>
      <c r="D2668" s="3">
        <v>1</v>
      </c>
      <c r="E2668" s="3" t="str">
        <f>"2170734163"</f>
        <v>2170734163</v>
      </c>
      <c r="F2668" s="3" t="s">
        <v>17</v>
      </c>
      <c r="G2668" s="3" t="s">
        <v>18</v>
      </c>
      <c r="H2668" s="3" t="s">
        <v>18</v>
      </c>
      <c r="I2668" s="3" t="s">
        <v>26</v>
      </c>
      <c r="J2668" s="3" t="s">
        <v>2076</v>
      </c>
      <c r="K2668" s="3" t="s">
        <v>1966</v>
      </c>
      <c r="L2668" s="4">
        <v>0.35902777777777778</v>
      </c>
      <c r="M2668" s="3" t="s">
        <v>28</v>
      </c>
      <c r="N2668" s="3" t="s">
        <v>24</v>
      </c>
      <c r="O2668" s="3" t="s">
        <v>25</v>
      </c>
    </row>
    <row r="2669" spans="1:15">
      <c r="A2669" s="3" t="s">
        <v>15</v>
      </c>
      <c r="B2669" s="3" t="str">
        <f>"FES1162742866"</f>
        <v>FES1162742866</v>
      </c>
      <c r="C2669" s="3" t="s">
        <v>1949</v>
      </c>
      <c r="D2669" s="3">
        <v>1</v>
      </c>
      <c r="E2669" s="3" t="str">
        <f>"2170731608"</f>
        <v>2170731608</v>
      </c>
      <c r="F2669" s="3" t="s">
        <v>17</v>
      </c>
      <c r="G2669" s="3" t="s">
        <v>18</v>
      </c>
      <c r="H2669" s="3" t="s">
        <v>46</v>
      </c>
      <c r="I2669" s="3" t="s">
        <v>47</v>
      </c>
      <c r="J2669" s="3" t="s">
        <v>161</v>
      </c>
      <c r="K2669" s="3" t="s">
        <v>1966</v>
      </c>
      <c r="L2669" s="4">
        <v>0.43333333333333335</v>
      </c>
      <c r="M2669" s="3" t="s">
        <v>2077</v>
      </c>
      <c r="N2669" s="3" t="s">
        <v>24</v>
      </c>
      <c r="O2669" s="3" t="s">
        <v>25</v>
      </c>
    </row>
    <row r="2670" spans="1:15">
      <c r="A2670" s="3" t="s">
        <v>15</v>
      </c>
      <c r="B2670" s="3" t="str">
        <f>"FES1162742922"</f>
        <v>FES1162742922</v>
      </c>
      <c r="C2670" s="3" t="s">
        <v>1949</v>
      </c>
      <c r="D2670" s="3">
        <v>1</v>
      </c>
      <c r="E2670" s="3" t="str">
        <f>"2170734256"</f>
        <v>2170734256</v>
      </c>
      <c r="F2670" s="3" t="s">
        <v>17</v>
      </c>
      <c r="G2670" s="3" t="s">
        <v>18</v>
      </c>
      <c r="H2670" s="3" t="s">
        <v>36</v>
      </c>
      <c r="I2670" s="3" t="s">
        <v>37</v>
      </c>
      <c r="J2670" s="3" t="s">
        <v>434</v>
      </c>
      <c r="K2670" s="3" t="s">
        <v>1966</v>
      </c>
      <c r="L2670" s="4">
        <v>0.35416666666666669</v>
      </c>
      <c r="M2670" s="3" t="s">
        <v>435</v>
      </c>
      <c r="N2670" s="3" t="s">
        <v>24</v>
      </c>
      <c r="O2670" s="3" t="s">
        <v>25</v>
      </c>
    </row>
    <row r="2671" spans="1:15">
      <c r="A2671" s="3" t="s">
        <v>15</v>
      </c>
      <c r="B2671" s="3" t="str">
        <f>"FES1162742889"</f>
        <v>FES1162742889</v>
      </c>
      <c r="C2671" s="3" t="s">
        <v>1949</v>
      </c>
      <c r="D2671" s="3">
        <v>1</v>
      </c>
      <c r="E2671" s="3" t="str">
        <f>"21707323299"</f>
        <v>21707323299</v>
      </c>
      <c r="F2671" s="3" t="s">
        <v>17</v>
      </c>
      <c r="G2671" s="3" t="s">
        <v>18</v>
      </c>
      <c r="H2671" s="3" t="s">
        <v>46</v>
      </c>
      <c r="I2671" s="3" t="s">
        <v>47</v>
      </c>
      <c r="J2671" s="3" t="s">
        <v>351</v>
      </c>
      <c r="K2671" s="3" t="s">
        <v>1966</v>
      </c>
      <c r="L2671" s="4">
        <v>0.36944444444444446</v>
      </c>
      <c r="M2671" s="3" t="s">
        <v>2011</v>
      </c>
      <c r="N2671" s="3" t="s">
        <v>24</v>
      </c>
      <c r="O2671" s="3" t="s">
        <v>25</v>
      </c>
    </row>
    <row r="2672" spans="1:15">
      <c r="A2672" s="3" t="s">
        <v>15</v>
      </c>
      <c r="B2672" s="3" t="str">
        <f>"FES1162743046"</f>
        <v>FES1162743046</v>
      </c>
      <c r="C2672" s="3" t="s">
        <v>1949</v>
      </c>
      <c r="D2672" s="3">
        <v>1</v>
      </c>
      <c r="E2672" s="3" t="str">
        <f>"2170734407"</f>
        <v>2170734407</v>
      </c>
      <c r="F2672" s="3" t="s">
        <v>17</v>
      </c>
      <c r="G2672" s="3" t="s">
        <v>18</v>
      </c>
      <c r="H2672" s="3" t="s">
        <v>19</v>
      </c>
      <c r="I2672" s="3" t="s">
        <v>236</v>
      </c>
      <c r="J2672" s="3" t="s">
        <v>633</v>
      </c>
      <c r="K2672" s="3" t="s">
        <v>1966</v>
      </c>
      <c r="L2672" s="4">
        <v>0.39305555555555555</v>
      </c>
      <c r="M2672" s="3" t="s">
        <v>634</v>
      </c>
      <c r="N2672" s="3" t="s">
        <v>24</v>
      </c>
      <c r="O2672" s="3" t="s">
        <v>25</v>
      </c>
    </row>
    <row r="2673" spans="1:15">
      <c r="A2673" s="3" t="s">
        <v>15</v>
      </c>
      <c r="B2673" s="3" t="str">
        <f>"FES1162743049"</f>
        <v>FES1162743049</v>
      </c>
      <c r="C2673" s="3" t="s">
        <v>1949</v>
      </c>
      <c r="D2673" s="3">
        <v>1</v>
      </c>
      <c r="E2673" s="3" t="str">
        <f>"2170734412"</f>
        <v>2170734412</v>
      </c>
      <c r="F2673" s="3" t="s">
        <v>17</v>
      </c>
      <c r="G2673" s="3" t="s">
        <v>18</v>
      </c>
      <c r="H2673" s="3" t="s">
        <v>36</v>
      </c>
      <c r="I2673" s="3" t="s">
        <v>174</v>
      </c>
      <c r="J2673" s="3" t="s">
        <v>175</v>
      </c>
      <c r="K2673" s="3" t="s">
        <v>1966</v>
      </c>
      <c r="L2673" s="4">
        <v>0.33680555555555558</v>
      </c>
      <c r="M2673" s="3" t="s">
        <v>2078</v>
      </c>
      <c r="N2673" s="3" t="s">
        <v>24</v>
      </c>
      <c r="O2673" s="3" t="s">
        <v>25</v>
      </c>
    </row>
    <row r="2674" spans="1:15">
      <c r="A2674" s="3" t="s">
        <v>15</v>
      </c>
      <c r="B2674" s="3" t="str">
        <f>"FES1162743052"</f>
        <v>FES1162743052</v>
      </c>
      <c r="C2674" s="3" t="s">
        <v>1949</v>
      </c>
      <c r="D2674" s="3">
        <v>1</v>
      </c>
      <c r="E2674" s="3" t="str">
        <f>"2170734418"</f>
        <v>2170734418</v>
      </c>
      <c r="F2674" s="3" t="s">
        <v>17</v>
      </c>
      <c r="G2674" s="3" t="s">
        <v>18</v>
      </c>
      <c r="H2674" s="3" t="s">
        <v>36</v>
      </c>
      <c r="I2674" s="3" t="s">
        <v>37</v>
      </c>
      <c r="J2674" s="3" t="s">
        <v>187</v>
      </c>
      <c r="K2674" s="3" t="s">
        <v>1966</v>
      </c>
      <c r="L2674" s="4">
        <v>0.37361111111111112</v>
      </c>
      <c r="M2674" s="3" t="s">
        <v>188</v>
      </c>
      <c r="N2674" s="3" t="s">
        <v>24</v>
      </c>
      <c r="O2674" s="3" t="s">
        <v>25</v>
      </c>
    </row>
    <row r="2675" spans="1:15">
      <c r="A2675" s="3" t="s">
        <v>15</v>
      </c>
      <c r="B2675" s="3" t="str">
        <f>"FES1162742861"</f>
        <v>FES1162742861</v>
      </c>
      <c r="C2675" s="3" t="s">
        <v>1949</v>
      </c>
      <c r="D2675" s="3">
        <v>1</v>
      </c>
      <c r="E2675" s="3" t="str">
        <f>"2170730848"</f>
        <v>2170730848</v>
      </c>
      <c r="F2675" s="3" t="s">
        <v>17</v>
      </c>
      <c r="G2675" s="3" t="s">
        <v>18</v>
      </c>
      <c r="H2675" s="3" t="s">
        <v>36</v>
      </c>
      <c r="I2675" s="3" t="s">
        <v>37</v>
      </c>
      <c r="J2675" s="3" t="s">
        <v>187</v>
      </c>
      <c r="K2675" s="3" t="s">
        <v>1966</v>
      </c>
      <c r="L2675" s="4">
        <v>0.37291666666666662</v>
      </c>
      <c r="M2675" s="3" t="s">
        <v>188</v>
      </c>
      <c r="N2675" s="3" t="s">
        <v>24</v>
      </c>
      <c r="O2675" s="3" t="s">
        <v>25</v>
      </c>
    </row>
    <row r="2676" spans="1:15">
      <c r="A2676" s="3" t="s">
        <v>15</v>
      </c>
      <c r="B2676" s="3" t="str">
        <f>"FES1162742911"</f>
        <v>FES1162742911</v>
      </c>
      <c r="C2676" s="3" t="s">
        <v>1949</v>
      </c>
      <c r="D2676" s="3">
        <v>1</v>
      </c>
      <c r="E2676" s="3" t="str">
        <f>"2170733219"</f>
        <v>2170733219</v>
      </c>
      <c r="F2676" s="3" t="s">
        <v>17</v>
      </c>
      <c r="G2676" s="3" t="s">
        <v>18</v>
      </c>
      <c r="H2676" s="3" t="s">
        <v>18</v>
      </c>
      <c r="I2676" s="3" t="s">
        <v>33</v>
      </c>
      <c r="J2676" s="3" t="s">
        <v>1878</v>
      </c>
      <c r="K2676" s="3" t="s">
        <v>1966</v>
      </c>
      <c r="L2676" s="4">
        <v>0.39374999999999999</v>
      </c>
      <c r="M2676" s="3" t="s">
        <v>1129</v>
      </c>
      <c r="N2676" s="3" t="s">
        <v>24</v>
      </c>
      <c r="O2676" s="3" t="s">
        <v>25</v>
      </c>
    </row>
    <row r="2677" spans="1:15">
      <c r="A2677" s="3" t="s">
        <v>15</v>
      </c>
      <c r="B2677" s="3" t="str">
        <f>"FES1162742941"</f>
        <v>FES1162742941</v>
      </c>
      <c r="C2677" s="3" t="s">
        <v>1949</v>
      </c>
      <c r="D2677" s="3">
        <v>1</v>
      </c>
      <c r="E2677" s="3" t="str">
        <f>"2170734251"</f>
        <v>2170734251</v>
      </c>
      <c r="F2677" s="3" t="s">
        <v>17</v>
      </c>
      <c r="G2677" s="3" t="s">
        <v>18</v>
      </c>
      <c r="H2677" s="3" t="s">
        <v>66</v>
      </c>
      <c r="I2677" s="3" t="s">
        <v>67</v>
      </c>
      <c r="J2677" s="3" t="s">
        <v>2079</v>
      </c>
      <c r="K2677" s="3" t="s">
        <v>1966</v>
      </c>
      <c r="L2677" s="4">
        <v>0.40277777777777773</v>
      </c>
      <c r="M2677" s="3" t="s">
        <v>466</v>
      </c>
      <c r="N2677" s="3" t="s">
        <v>24</v>
      </c>
      <c r="O2677" s="3" t="s">
        <v>25</v>
      </c>
    </row>
    <row r="2678" spans="1:15">
      <c r="A2678" s="3" t="s">
        <v>15</v>
      </c>
      <c r="B2678" s="3" t="str">
        <f>"FES1162742979"</f>
        <v>FES1162742979</v>
      </c>
      <c r="C2678" s="3" t="s">
        <v>1949</v>
      </c>
      <c r="D2678" s="3">
        <v>1</v>
      </c>
      <c r="E2678" s="3" t="str">
        <f>"2170734324"</f>
        <v>2170734324</v>
      </c>
      <c r="F2678" s="3" t="s">
        <v>17</v>
      </c>
      <c r="G2678" s="3" t="s">
        <v>18</v>
      </c>
      <c r="H2678" s="3" t="s">
        <v>36</v>
      </c>
      <c r="I2678" s="3" t="s">
        <v>174</v>
      </c>
      <c r="J2678" s="3" t="s">
        <v>451</v>
      </c>
      <c r="K2678" s="3" t="s">
        <v>1966</v>
      </c>
      <c r="L2678" s="4">
        <v>0.34027777777777773</v>
      </c>
      <c r="M2678" s="3" t="s">
        <v>2080</v>
      </c>
      <c r="N2678" s="3" t="s">
        <v>24</v>
      </c>
      <c r="O2678" s="3" t="s">
        <v>25</v>
      </c>
    </row>
    <row r="2679" spans="1:15">
      <c r="A2679" s="3" t="s">
        <v>15</v>
      </c>
      <c r="B2679" s="3" t="str">
        <f>"FES1162742953"</f>
        <v>FES1162742953</v>
      </c>
      <c r="C2679" s="3" t="s">
        <v>1949</v>
      </c>
      <c r="D2679" s="3">
        <v>1</v>
      </c>
      <c r="E2679" s="3" t="str">
        <f>"2170734290"</f>
        <v>2170734290</v>
      </c>
      <c r="F2679" s="3" t="s">
        <v>17</v>
      </c>
      <c r="G2679" s="3" t="s">
        <v>18</v>
      </c>
      <c r="H2679" s="3" t="s">
        <v>948</v>
      </c>
      <c r="I2679" s="3" t="s">
        <v>341</v>
      </c>
      <c r="J2679" s="3" t="s">
        <v>1249</v>
      </c>
      <c r="K2679" s="3" t="s">
        <v>1966</v>
      </c>
      <c r="L2679" s="4">
        <v>0.38541666666666669</v>
      </c>
      <c r="M2679" s="3" t="s">
        <v>1265</v>
      </c>
      <c r="N2679" s="3" t="s">
        <v>24</v>
      </c>
      <c r="O2679" s="3" t="s">
        <v>25</v>
      </c>
    </row>
    <row r="2680" spans="1:15">
      <c r="A2680" s="3" t="s">
        <v>15</v>
      </c>
      <c r="B2680" s="3" t="str">
        <f>"FES1162742895"</f>
        <v>FES1162742895</v>
      </c>
      <c r="C2680" s="3" t="s">
        <v>1949</v>
      </c>
      <c r="D2680" s="3">
        <v>1</v>
      </c>
      <c r="E2680" s="3" t="str">
        <f>"2170732429"</f>
        <v>2170732429</v>
      </c>
      <c r="F2680" s="3" t="s">
        <v>17</v>
      </c>
      <c r="G2680" s="3" t="s">
        <v>18</v>
      </c>
      <c r="H2680" s="3" t="s">
        <v>18</v>
      </c>
      <c r="I2680" s="3" t="s">
        <v>29</v>
      </c>
      <c r="J2680" s="3" t="s">
        <v>356</v>
      </c>
      <c r="K2680" s="3" t="s">
        <v>1966</v>
      </c>
      <c r="L2680" s="4">
        <v>0.34375</v>
      </c>
      <c r="M2680" s="3" t="s">
        <v>2081</v>
      </c>
      <c r="N2680" s="3" t="s">
        <v>24</v>
      </c>
      <c r="O2680" s="3" t="s">
        <v>25</v>
      </c>
    </row>
    <row r="2681" spans="1:15">
      <c r="A2681" s="3" t="s">
        <v>15</v>
      </c>
      <c r="B2681" s="3" t="str">
        <f>"FES1162742992"</f>
        <v>FES1162742992</v>
      </c>
      <c r="C2681" s="3" t="s">
        <v>1949</v>
      </c>
      <c r="D2681" s="3">
        <v>1</v>
      </c>
      <c r="E2681" s="3" t="str">
        <f>"2170734342"</f>
        <v>2170734342</v>
      </c>
      <c r="F2681" s="3" t="s">
        <v>17</v>
      </c>
      <c r="G2681" s="3" t="s">
        <v>18</v>
      </c>
      <c r="H2681" s="3" t="s">
        <v>18</v>
      </c>
      <c r="I2681" s="3" t="s">
        <v>341</v>
      </c>
      <c r="J2681" s="3" t="s">
        <v>900</v>
      </c>
      <c r="K2681" s="3" t="s">
        <v>1966</v>
      </c>
      <c r="L2681" s="4">
        <v>0.41666666666666669</v>
      </c>
      <c r="M2681" s="3" t="s">
        <v>2082</v>
      </c>
      <c r="N2681" s="3" t="s">
        <v>24</v>
      </c>
      <c r="O2681" s="3" t="s">
        <v>25</v>
      </c>
    </row>
    <row r="2682" spans="1:15">
      <c r="A2682" s="3" t="s">
        <v>15</v>
      </c>
      <c r="B2682" s="3" t="str">
        <f>"FES1162742884"</f>
        <v>FES1162742884</v>
      </c>
      <c r="C2682" s="3" t="s">
        <v>1949</v>
      </c>
      <c r="D2682" s="3">
        <v>1</v>
      </c>
      <c r="E2682" s="3" t="str">
        <f>"2170732378"</f>
        <v>2170732378</v>
      </c>
      <c r="F2682" s="3" t="s">
        <v>17</v>
      </c>
      <c r="G2682" s="3" t="s">
        <v>18</v>
      </c>
      <c r="H2682" s="3" t="s">
        <v>36</v>
      </c>
      <c r="I2682" s="3" t="s">
        <v>37</v>
      </c>
      <c r="J2682" s="3" t="s">
        <v>260</v>
      </c>
      <c r="K2682" s="3" t="s">
        <v>1966</v>
      </c>
      <c r="L2682" s="4">
        <v>0.38541666666666669</v>
      </c>
      <c r="M2682" s="3" t="s">
        <v>691</v>
      </c>
      <c r="N2682" s="3" t="s">
        <v>24</v>
      </c>
      <c r="O2682" s="3" t="s">
        <v>25</v>
      </c>
    </row>
    <row r="2683" spans="1:15">
      <c r="A2683" s="3" t="s">
        <v>15</v>
      </c>
      <c r="B2683" s="3" t="str">
        <f>"FES1162742894"</f>
        <v>FES1162742894</v>
      </c>
      <c r="C2683" s="3" t="s">
        <v>1949</v>
      </c>
      <c r="D2683" s="3">
        <v>1</v>
      </c>
      <c r="E2683" s="3" t="str">
        <f>"2170732423"</f>
        <v>2170732423</v>
      </c>
      <c r="F2683" s="3" t="s">
        <v>17</v>
      </c>
      <c r="G2683" s="3" t="s">
        <v>18</v>
      </c>
      <c r="H2683" s="3" t="s">
        <v>18</v>
      </c>
      <c r="I2683" s="3" t="s">
        <v>453</v>
      </c>
      <c r="J2683" s="3" t="s">
        <v>454</v>
      </c>
      <c r="K2683" s="3" t="s">
        <v>1966</v>
      </c>
      <c r="L2683" s="4">
        <v>0.33333333333333331</v>
      </c>
      <c r="M2683" s="3" t="s">
        <v>2083</v>
      </c>
      <c r="N2683" s="3" t="s">
        <v>24</v>
      </c>
      <c r="O2683" s="3" t="s">
        <v>25</v>
      </c>
    </row>
    <row r="2684" spans="1:15">
      <c r="A2684" s="3" t="s">
        <v>15</v>
      </c>
      <c r="B2684" s="3" t="str">
        <f>"FES1162742952"</f>
        <v>FES1162742952</v>
      </c>
      <c r="C2684" s="3" t="s">
        <v>1949</v>
      </c>
      <c r="D2684" s="3">
        <v>1</v>
      </c>
      <c r="E2684" s="3" t="str">
        <f>"2170734288"</f>
        <v>2170734288</v>
      </c>
      <c r="F2684" s="3" t="s">
        <v>17</v>
      </c>
      <c r="G2684" s="3" t="s">
        <v>18</v>
      </c>
      <c r="H2684" s="3" t="s">
        <v>36</v>
      </c>
      <c r="I2684" s="3" t="s">
        <v>37</v>
      </c>
      <c r="J2684" s="3" t="s">
        <v>585</v>
      </c>
      <c r="K2684" s="3" t="s">
        <v>1966</v>
      </c>
      <c r="L2684" s="4">
        <v>0.37986111111111115</v>
      </c>
      <c r="M2684" s="3" t="s">
        <v>1678</v>
      </c>
      <c r="N2684" s="3" t="s">
        <v>24</v>
      </c>
      <c r="O2684" s="3" t="s">
        <v>25</v>
      </c>
    </row>
    <row r="2685" spans="1:15">
      <c r="A2685" s="3" t="s">
        <v>15</v>
      </c>
      <c r="B2685" s="3" t="str">
        <f>"FES1162742865"</f>
        <v>FES1162742865</v>
      </c>
      <c r="C2685" s="3" t="s">
        <v>1949</v>
      </c>
      <c r="D2685" s="3">
        <v>1</v>
      </c>
      <c r="E2685" s="3" t="str">
        <f>"2170731555"</f>
        <v>2170731555</v>
      </c>
      <c r="F2685" s="3" t="s">
        <v>17</v>
      </c>
      <c r="G2685" s="3" t="s">
        <v>18</v>
      </c>
      <c r="H2685" s="3" t="s">
        <v>36</v>
      </c>
      <c r="I2685" s="3" t="s">
        <v>37</v>
      </c>
      <c r="J2685" s="3" t="s">
        <v>187</v>
      </c>
      <c r="K2685" s="3" t="s">
        <v>1966</v>
      </c>
      <c r="L2685" s="4">
        <v>0.37222222222222223</v>
      </c>
      <c r="M2685" s="3" t="s">
        <v>188</v>
      </c>
      <c r="N2685" s="3" t="s">
        <v>24</v>
      </c>
      <c r="O2685" s="3" t="s">
        <v>25</v>
      </c>
    </row>
    <row r="2686" spans="1:15">
      <c r="A2686" s="3" t="s">
        <v>15</v>
      </c>
      <c r="B2686" s="3" t="str">
        <f>"FES1162742878"</f>
        <v>FES1162742878</v>
      </c>
      <c r="C2686" s="3" t="s">
        <v>1949</v>
      </c>
      <c r="D2686" s="3">
        <v>1</v>
      </c>
      <c r="E2686" s="3" t="str">
        <f>"2170732291"</f>
        <v>2170732291</v>
      </c>
      <c r="F2686" s="3" t="s">
        <v>17</v>
      </c>
      <c r="G2686" s="3" t="s">
        <v>18</v>
      </c>
      <c r="H2686" s="3" t="s">
        <v>100</v>
      </c>
      <c r="I2686" s="3" t="s">
        <v>101</v>
      </c>
      <c r="J2686" s="3" t="s">
        <v>1143</v>
      </c>
      <c r="K2686" s="3" t="s">
        <v>1966</v>
      </c>
      <c r="L2686" s="4">
        <v>0.40833333333333338</v>
      </c>
      <c r="M2686" s="3" t="s">
        <v>2084</v>
      </c>
      <c r="N2686" s="3" t="s">
        <v>24</v>
      </c>
      <c r="O2686" s="3" t="s">
        <v>25</v>
      </c>
    </row>
    <row r="2687" spans="1:15">
      <c r="A2687" s="3" t="s">
        <v>15</v>
      </c>
      <c r="B2687" s="3" t="str">
        <f>"FES1162742958"</f>
        <v>FES1162742958</v>
      </c>
      <c r="C2687" s="3" t="s">
        <v>1949</v>
      </c>
      <c r="D2687" s="3">
        <v>1</v>
      </c>
      <c r="E2687" s="3" t="str">
        <f>"2170734298"</f>
        <v>2170734298</v>
      </c>
      <c r="F2687" s="3" t="s">
        <v>17</v>
      </c>
      <c r="G2687" s="3" t="s">
        <v>18</v>
      </c>
      <c r="H2687" s="3" t="s">
        <v>19</v>
      </c>
      <c r="I2687" s="3" t="s">
        <v>95</v>
      </c>
      <c r="J2687" s="3" t="s">
        <v>1171</v>
      </c>
      <c r="K2687" s="3" t="s">
        <v>1966</v>
      </c>
      <c r="L2687" s="4">
        <v>0.43055555555555558</v>
      </c>
      <c r="M2687" s="3" t="s">
        <v>2085</v>
      </c>
      <c r="N2687" s="3" t="s">
        <v>24</v>
      </c>
      <c r="O2687" s="3" t="s">
        <v>25</v>
      </c>
    </row>
    <row r="2688" spans="1:15">
      <c r="A2688" s="3" t="s">
        <v>15</v>
      </c>
      <c r="B2688" s="3" t="str">
        <f>"FES1162742944"</f>
        <v>FES1162742944</v>
      </c>
      <c r="C2688" s="3" t="s">
        <v>1949</v>
      </c>
      <c r="D2688" s="3">
        <v>1</v>
      </c>
      <c r="E2688" s="3" t="str">
        <f>"21707324440"</f>
        <v>21707324440</v>
      </c>
      <c r="F2688" s="3" t="s">
        <v>17</v>
      </c>
      <c r="G2688" s="3" t="s">
        <v>18</v>
      </c>
      <c r="H2688" s="3" t="s">
        <v>66</v>
      </c>
      <c r="I2688" s="3" t="s">
        <v>158</v>
      </c>
      <c r="J2688" s="3" t="s">
        <v>159</v>
      </c>
      <c r="K2688" s="3" t="s">
        <v>1966</v>
      </c>
      <c r="L2688" s="4">
        <v>0.60763888888888895</v>
      </c>
      <c r="M2688" s="3" t="s">
        <v>2086</v>
      </c>
      <c r="N2688" s="3" t="s">
        <v>24</v>
      </c>
      <c r="O2688" s="3" t="s">
        <v>25</v>
      </c>
    </row>
    <row r="2689" spans="1:15">
      <c r="A2689" s="3" t="s">
        <v>15</v>
      </c>
      <c r="B2689" s="3" t="str">
        <f>"FES1162742918"</f>
        <v>FES1162742918</v>
      </c>
      <c r="C2689" s="3" t="s">
        <v>1949</v>
      </c>
      <c r="D2689" s="3">
        <v>1</v>
      </c>
      <c r="E2689" s="3" t="str">
        <f>"2170734134"</f>
        <v>2170734134</v>
      </c>
      <c r="F2689" s="3" t="s">
        <v>17</v>
      </c>
      <c r="G2689" s="3" t="s">
        <v>18</v>
      </c>
      <c r="H2689" s="3" t="s">
        <v>36</v>
      </c>
      <c r="I2689" s="3" t="s">
        <v>37</v>
      </c>
      <c r="J2689" s="3" t="s">
        <v>54</v>
      </c>
      <c r="K2689" s="3" t="s">
        <v>1966</v>
      </c>
      <c r="L2689" s="4">
        <v>0.41319444444444442</v>
      </c>
      <c r="M2689" s="3" t="s">
        <v>55</v>
      </c>
      <c r="N2689" s="3" t="s">
        <v>24</v>
      </c>
      <c r="O2689" s="3" t="s">
        <v>25</v>
      </c>
    </row>
    <row r="2690" spans="1:15">
      <c r="A2690" s="3" t="s">
        <v>15</v>
      </c>
      <c r="B2690" s="3" t="str">
        <f>"FES1162742906"</f>
        <v>FES1162742906</v>
      </c>
      <c r="C2690" s="3" t="s">
        <v>1949</v>
      </c>
      <c r="D2690" s="3">
        <v>1</v>
      </c>
      <c r="E2690" s="3" t="str">
        <f>"2170732884"</f>
        <v>2170732884</v>
      </c>
      <c r="F2690" s="3" t="s">
        <v>17</v>
      </c>
      <c r="G2690" s="3" t="s">
        <v>18</v>
      </c>
      <c r="H2690" s="3" t="s">
        <v>36</v>
      </c>
      <c r="I2690" s="3" t="s">
        <v>37</v>
      </c>
      <c r="J2690" s="3" t="s">
        <v>275</v>
      </c>
      <c r="K2690" s="3" t="s">
        <v>1966</v>
      </c>
      <c r="L2690" s="4">
        <v>0.39583333333333331</v>
      </c>
      <c r="M2690" s="3" t="s">
        <v>1136</v>
      </c>
      <c r="N2690" s="3" t="s">
        <v>24</v>
      </c>
      <c r="O2690" s="3" t="s">
        <v>25</v>
      </c>
    </row>
    <row r="2691" spans="1:15">
      <c r="A2691" s="7" t="s">
        <v>15</v>
      </c>
      <c r="B2691" s="7" t="str">
        <f>"FES1162742852"</f>
        <v>FES1162742852</v>
      </c>
      <c r="C2691" s="7" t="s">
        <v>1949</v>
      </c>
      <c r="D2691" s="7">
        <v>1</v>
      </c>
      <c r="E2691" s="7" t="str">
        <f>"2170734238"</f>
        <v>2170734238</v>
      </c>
      <c r="F2691" s="7" t="s">
        <v>17</v>
      </c>
      <c r="G2691" s="7" t="s">
        <v>18</v>
      </c>
      <c r="H2691" s="7" t="s">
        <v>18</v>
      </c>
      <c r="I2691" s="7" t="s">
        <v>33</v>
      </c>
      <c r="J2691" s="7" t="s">
        <v>284</v>
      </c>
      <c r="K2691" s="7" t="s">
        <v>447</v>
      </c>
      <c r="L2691" s="7"/>
      <c r="M2691" s="7" t="s">
        <v>448</v>
      </c>
      <c r="N2691" s="7" t="s">
        <v>2087</v>
      </c>
      <c r="O2691" s="7" t="s">
        <v>2087</v>
      </c>
    </row>
    <row r="2692" spans="1:15">
      <c r="A2692" s="3" t="s">
        <v>15</v>
      </c>
      <c r="B2692" s="3" t="str">
        <f>"FES1162742938"</f>
        <v>FES1162742938</v>
      </c>
      <c r="C2692" s="3" t="s">
        <v>1949</v>
      </c>
      <c r="D2692" s="3">
        <v>1</v>
      </c>
      <c r="E2692" s="3" t="str">
        <f>"2170733224"</f>
        <v>2170733224</v>
      </c>
      <c r="F2692" s="3" t="s">
        <v>17</v>
      </c>
      <c r="G2692" s="3" t="s">
        <v>18</v>
      </c>
      <c r="H2692" s="3" t="s">
        <v>18</v>
      </c>
      <c r="I2692" s="3" t="s">
        <v>171</v>
      </c>
      <c r="J2692" s="3" t="s">
        <v>574</v>
      </c>
      <c r="K2692" s="3" t="s">
        <v>1966</v>
      </c>
      <c r="L2692" s="4">
        <v>0.36805555555555558</v>
      </c>
      <c r="M2692" s="3" t="s">
        <v>2088</v>
      </c>
      <c r="N2692" s="3" t="s">
        <v>24</v>
      </c>
      <c r="O2692" s="3" t="s">
        <v>25</v>
      </c>
    </row>
    <row r="2693" spans="1:15">
      <c r="A2693" s="3" t="s">
        <v>15</v>
      </c>
      <c r="B2693" s="3" t="str">
        <f>"FES1162742864"</f>
        <v>FES1162742864</v>
      </c>
      <c r="C2693" s="3" t="s">
        <v>1949</v>
      </c>
      <c r="D2693" s="3">
        <v>1</v>
      </c>
      <c r="E2693" s="3" t="str">
        <f>"2170731333"</f>
        <v>2170731333</v>
      </c>
      <c r="F2693" s="3" t="s">
        <v>17</v>
      </c>
      <c r="G2693" s="3" t="s">
        <v>18</v>
      </c>
      <c r="H2693" s="3" t="s">
        <v>46</v>
      </c>
      <c r="I2693" s="3" t="s">
        <v>47</v>
      </c>
      <c r="J2693" s="3" t="s">
        <v>233</v>
      </c>
      <c r="K2693" s="3" t="s">
        <v>1966</v>
      </c>
      <c r="L2693" s="4">
        <v>0.43402777777777773</v>
      </c>
      <c r="M2693" s="3" t="s">
        <v>2089</v>
      </c>
      <c r="N2693" s="3" t="s">
        <v>24</v>
      </c>
      <c r="O2693" s="3" t="s">
        <v>25</v>
      </c>
    </row>
    <row r="2694" spans="1:15">
      <c r="A2694" s="3" t="s">
        <v>15</v>
      </c>
      <c r="B2694" s="3" t="str">
        <f>"FES1162742937"</f>
        <v>FES1162742937</v>
      </c>
      <c r="C2694" s="3" t="s">
        <v>1949</v>
      </c>
      <c r="D2694" s="3">
        <v>1</v>
      </c>
      <c r="E2694" s="3" t="str">
        <f>"2170734280"</f>
        <v>2170734280</v>
      </c>
      <c r="F2694" s="3" t="s">
        <v>17</v>
      </c>
      <c r="G2694" s="3" t="s">
        <v>18</v>
      </c>
      <c r="H2694" s="3" t="s">
        <v>537</v>
      </c>
      <c r="I2694" s="3" t="s">
        <v>538</v>
      </c>
      <c r="J2694" s="3" t="s">
        <v>1106</v>
      </c>
      <c r="K2694" s="3" t="s">
        <v>1966</v>
      </c>
      <c r="L2694" s="4">
        <v>0.33333333333333331</v>
      </c>
      <c r="M2694" s="3" t="s">
        <v>1024</v>
      </c>
      <c r="N2694" s="3" t="s">
        <v>24</v>
      </c>
      <c r="O2694" s="3" t="s">
        <v>25</v>
      </c>
    </row>
    <row r="2695" spans="1:15">
      <c r="A2695" s="3" t="s">
        <v>15</v>
      </c>
      <c r="B2695" s="3" t="str">
        <f>"FES1162742897"</f>
        <v>FES1162742897</v>
      </c>
      <c r="C2695" s="3" t="s">
        <v>1949</v>
      </c>
      <c r="D2695" s="3">
        <v>1</v>
      </c>
      <c r="E2695" s="3" t="str">
        <f>"2170732441"</f>
        <v>2170732441</v>
      </c>
      <c r="F2695" s="3" t="s">
        <v>17</v>
      </c>
      <c r="G2695" s="3" t="s">
        <v>18</v>
      </c>
      <c r="H2695" s="3" t="s">
        <v>100</v>
      </c>
      <c r="I2695" s="3" t="s">
        <v>117</v>
      </c>
      <c r="J2695" s="3" t="s">
        <v>118</v>
      </c>
      <c r="K2695" s="3" t="s">
        <v>1966</v>
      </c>
      <c r="L2695" s="4">
        <v>0.45624999999999999</v>
      </c>
      <c r="M2695" s="3" t="s">
        <v>119</v>
      </c>
      <c r="N2695" s="3" t="s">
        <v>24</v>
      </c>
      <c r="O2695" s="3" t="s">
        <v>25</v>
      </c>
    </row>
    <row r="2696" spans="1:15">
      <c r="A2696" s="3" t="s">
        <v>15</v>
      </c>
      <c r="B2696" s="3" t="str">
        <f>"FES1162742899"</f>
        <v>FES1162742899</v>
      </c>
      <c r="C2696" s="3" t="s">
        <v>1949</v>
      </c>
      <c r="D2696" s="3">
        <v>1</v>
      </c>
      <c r="E2696" s="3" t="str">
        <f>"2170732459"</f>
        <v>2170732459</v>
      </c>
      <c r="F2696" s="3" t="s">
        <v>17</v>
      </c>
      <c r="G2696" s="3" t="s">
        <v>18</v>
      </c>
      <c r="H2696" s="3" t="s">
        <v>100</v>
      </c>
      <c r="I2696" s="3" t="s">
        <v>101</v>
      </c>
      <c r="J2696" s="3" t="s">
        <v>491</v>
      </c>
      <c r="K2696" s="3" t="s">
        <v>1966</v>
      </c>
      <c r="L2696" s="4">
        <v>0.4291666666666667</v>
      </c>
      <c r="M2696" s="3" t="s">
        <v>2090</v>
      </c>
      <c r="N2696" s="3" t="s">
        <v>24</v>
      </c>
      <c r="O2696" s="3" t="s">
        <v>25</v>
      </c>
    </row>
    <row r="2697" spans="1:15">
      <c r="A2697" s="3" t="s">
        <v>15</v>
      </c>
      <c r="B2697" s="3" t="str">
        <f>"FES1162742903"</f>
        <v>FES1162742903</v>
      </c>
      <c r="C2697" s="3" t="s">
        <v>1949</v>
      </c>
      <c r="D2697" s="3">
        <v>1</v>
      </c>
      <c r="E2697" s="3" t="str">
        <f>"2170732775"</f>
        <v>2170732775</v>
      </c>
      <c r="F2697" s="3" t="s">
        <v>17</v>
      </c>
      <c r="G2697" s="3" t="s">
        <v>18</v>
      </c>
      <c r="H2697" s="3" t="s">
        <v>100</v>
      </c>
      <c r="I2697" s="3" t="s">
        <v>101</v>
      </c>
      <c r="J2697" s="3" t="s">
        <v>265</v>
      </c>
      <c r="K2697" s="3" t="s">
        <v>1966</v>
      </c>
      <c r="L2697" s="4">
        <v>0.31597222222222221</v>
      </c>
      <c r="M2697" s="3" t="s">
        <v>266</v>
      </c>
      <c r="N2697" s="3" t="s">
        <v>24</v>
      </c>
      <c r="O2697" s="3" t="s">
        <v>25</v>
      </c>
    </row>
    <row r="2698" spans="1:15">
      <c r="A2698" s="3" t="s">
        <v>15</v>
      </c>
      <c r="B2698" s="3" t="str">
        <f>"FES1162742881"</f>
        <v>FES1162742881</v>
      </c>
      <c r="C2698" s="3" t="s">
        <v>1949</v>
      </c>
      <c r="D2698" s="3">
        <v>1</v>
      </c>
      <c r="E2698" s="3" t="str">
        <f>"2170732350"</f>
        <v>2170732350</v>
      </c>
      <c r="F2698" s="3" t="s">
        <v>17</v>
      </c>
      <c r="G2698" s="3" t="s">
        <v>18</v>
      </c>
      <c r="H2698" s="3" t="s">
        <v>100</v>
      </c>
      <c r="I2698" s="3" t="s">
        <v>101</v>
      </c>
      <c r="J2698" s="3" t="s">
        <v>1296</v>
      </c>
      <c r="K2698" s="3" t="s">
        <v>1966</v>
      </c>
      <c r="L2698" s="4">
        <v>0.34583333333333338</v>
      </c>
      <c r="M2698" s="3" t="s">
        <v>1297</v>
      </c>
      <c r="N2698" s="3" t="s">
        <v>24</v>
      </c>
      <c r="O2698" s="3" t="s">
        <v>25</v>
      </c>
    </row>
    <row r="2699" spans="1:15">
      <c r="A2699" s="3" t="s">
        <v>15</v>
      </c>
      <c r="B2699" s="3" t="str">
        <f>"FES1162742898"</f>
        <v>FES1162742898</v>
      </c>
      <c r="C2699" s="3" t="s">
        <v>1949</v>
      </c>
      <c r="D2699" s="3">
        <v>1</v>
      </c>
      <c r="E2699" s="3" t="str">
        <f>"2170732455"</f>
        <v>2170732455</v>
      </c>
      <c r="F2699" s="3" t="s">
        <v>17</v>
      </c>
      <c r="G2699" s="3" t="s">
        <v>18</v>
      </c>
      <c r="H2699" s="3" t="s">
        <v>100</v>
      </c>
      <c r="I2699" s="3" t="s">
        <v>101</v>
      </c>
      <c r="J2699" s="3" t="s">
        <v>1217</v>
      </c>
      <c r="K2699" s="3" t="s">
        <v>1966</v>
      </c>
      <c r="L2699" s="4">
        <v>0.36319444444444443</v>
      </c>
      <c r="M2699" s="3" t="s">
        <v>254</v>
      </c>
      <c r="N2699" s="3" t="s">
        <v>24</v>
      </c>
      <c r="O2699" s="3" t="s">
        <v>25</v>
      </c>
    </row>
    <row r="2700" spans="1:15">
      <c r="A2700" s="3" t="s">
        <v>15</v>
      </c>
      <c r="B2700" s="3" t="str">
        <f>"FES1162742871"</f>
        <v>FES1162742871</v>
      </c>
      <c r="C2700" s="3" t="s">
        <v>1949</v>
      </c>
      <c r="D2700" s="3">
        <v>1</v>
      </c>
      <c r="E2700" s="3" t="str">
        <f>"2170731931"</f>
        <v>2170731931</v>
      </c>
      <c r="F2700" s="3" t="s">
        <v>17</v>
      </c>
      <c r="G2700" s="3" t="s">
        <v>18</v>
      </c>
      <c r="H2700" s="3" t="s">
        <v>100</v>
      </c>
      <c r="I2700" s="3" t="s">
        <v>101</v>
      </c>
      <c r="J2700" s="3" t="s">
        <v>284</v>
      </c>
      <c r="K2700" s="3" t="s">
        <v>1966</v>
      </c>
      <c r="L2700" s="4">
        <v>0.34236111111111112</v>
      </c>
      <c r="M2700" s="3" t="s">
        <v>1589</v>
      </c>
      <c r="N2700" s="3" t="s">
        <v>24</v>
      </c>
      <c r="O2700" s="3" t="s">
        <v>25</v>
      </c>
    </row>
    <row r="2701" spans="1:15">
      <c r="A2701" s="3" t="s">
        <v>15</v>
      </c>
      <c r="B2701" s="3" t="str">
        <f>"FES1162742914"</f>
        <v>FES1162742914</v>
      </c>
      <c r="C2701" s="3" t="s">
        <v>1949</v>
      </c>
      <c r="D2701" s="3">
        <v>1</v>
      </c>
      <c r="E2701" s="3" t="str">
        <f>"2170733670"</f>
        <v>2170733670</v>
      </c>
      <c r="F2701" s="3" t="s">
        <v>17</v>
      </c>
      <c r="G2701" s="3" t="s">
        <v>18</v>
      </c>
      <c r="H2701" s="3" t="s">
        <v>100</v>
      </c>
      <c r="I2701" s="3" t="s">
        <v>155</v>
      </c>
      <c r="J2701" s="3" t="s">
        <v>489</v>
      </c>
      <c r="K2701" s="3" t="s">
        <v>1966</v>
      </c>
      <c r="L2701" s="4">
        <v>0.4458333333333333</v>
      </c>
      <c r="M2701" s="3" t="s">
        <v>490</v>
      </c>
      <c r="N2701" s="3" t="s">
        <v>24</v>
      </c>
      <c r="O2701" s="3" t="s">
        <v>25</v>
      </c>
    </row>
    <row r="2702" spans="1:15">
      <c r="A2702" s="3" t="s">
        <v>15</v>
      </c>
      <c r="B2702" s="3" t="str">
        <f>"FES1162742896"</f>
        <v>FES1162742896</v>
      </c>
      <c r="C2702" s="3" t="s">
        <v>1949</v>
      </c>
      <c r="D2702" s="3">
        <v>1</v>
      </c>
      <c r="E2702" s="3" t="str">
        <f>"2170732439"</f>
        <v>2170732439</v>
      </c>
      <c r="F2702" s="3" t="s">
        <v>17</v>
      </c>
      <c r="G2702" s="3" t="s">
        <v>18</v>
      </c>
      <c r="H2702" s="3" t="s">
        <v>100</v>
      </c>
      <c r="I2702" s="3" t="s">
        <v>101</v>
      </c>
      <c r="J2702" s="3" t="s">
        <v>1108</v>
      </c>
      <c r="K2702" s="3" t="s">
        <v>1966</v>
      </c>
      <c r="L2702" s="4">
        <v>0.28888888888888892</v>
      </c>
      <c r="M2702" s="3" t="s">
        <v>126</v>
      </c>
      <c r="N2702" s="3" t="s">
        <v>24</v>
      </c>
      <c r="O2702" s="3" t="s">
        <v>25</v>
      </c>
    </row>
    <row r="2703" spans="1:15">
      <c r="A2703" s="3" t="s">
        <v>15</v>
      </c>
      <c r="B2703" s="3" t="str">
        <f>"FES1162742891"</f>
        <v>FES1162742891</v>
      </c>
      <c r="C2703" s="3" t="s">
        <v>1949</v>
      </c>
      <c r="D2703" s="3">
        <v>1</v>
      </c>
      <c r="E2703" s="3" t="str">
        <f>"2170732411"</f>
        <v>2170732411</v>
      </c>
      <c r="F2703" s="3" t="s">
        <v>17</v>
      </c>
      <c r="G2703" s="3" t="s">
        <v>18</v>
      </c>
      <c r="H2703" s="3" t="s">
        <v>100</v>
      </c>
      <c r="I2703" s="3" t="s">
        <v>262</v>
      </c>
      <c r="J2703" s="3" t="s">
        <v>263</v>
      </c>
      <c r="K2703" s="3" t="s">
        <v>1966</v>
      </c>
      <c r="L2703" s="4">
        <v>0.28888888888888892</v>
      </c>
      <c r="M2703" s="3" t="s">
        <v>2091</v>
      </c>
      <c r="N2703" s="3" t="s">
        <v>24</v>
      </c>
      <c r="O2703" s="3" t="s">
        <v>25</v>
      </c>
    </row>
    <row r="2704" spans="1:15">
      <c r="A2704" s="3" t="s">
        <v>15</v>
      </c>
      <c r="B2704" s="3" t="str">
        <f>"FES1162742916"</f>
        <v>FES1162742916</v>
      </c>
      <c r="C2704" s="3" t="s">
        <v>1949</v>
      </c>
      <c r="D2704" s="3">
        <v>1</v>
      </c>
      <c r="E2704" s="3" t="str">
        <f>"2170733968"</f>
        <v>2170733968</v>
      </c>
      <c r="F2704" s="3" t="s">
        <v>17</v>
      </c>
      <c r="G2704" s="3" t="s">
        <v>18</v>
      </c>
      <c r="H2704" s="3" t="s">
        <v>537</v>
      </c>
      <c r="I2704" s="3" t="s">
        <v>538</v>
      </c>
      <c r="J2704" s="3" t="s">
        <v>1106</v>
      </c>
      <c r="K2704" s="3" t="s">
        <v>1966</v>
      </c>
      <c r="L2704" s="4">
        <v>0.33333333333333331</v>
      </c>
      <c r="M2704" s="3" t="s">
        <v>1024</v>
      </c>
      <c r="N2704" s="3" t="s">
        <v>24</v>
      </c>
      <c r="O2704" s="3" t="s">
        <v>25</v>
      </c>
    </row>
    <row r="2705" spans="1:15">
      <c r="A2705" s="3" t="s">
        <v>15</v>
      </c>
      <c r="B2705" s="3" t="str">
        <f>"FES1162741408"</f>
        <v>FES1162741408</v>
      </c>
      <c r="C2705" s="3" t="s">
        <v>1949</v>
      </c>
      <c r="D2705" s="3">
        <v>1</v>
      </c>
      <c r="E2705" s="3" t="str">
        <f>"2170732359"</f>
        <v>2170732359</v>
      </c>
      <c r="F2705" s="3" t="s">
        <v>17</v>
      </c>
      <c r="G2705" s="3" t="s">
        <v>18</v>
      </c>
      <c r="H2705" s="3" t="s">
        <v>66</v>
      </c>
      <c r="I2705" s="3" t="s">
        <v>67</v>
      </c>
      <c r="J2705" s="3" t="s">
        <v>485</v>
      </c>
      <c r="K2705" s="3" t="s">
        <v>1966</v>
      </c>
      <c r="L2705" s="4">
        <v>0.36805555555555558</v>
      </c>
      <c r="M2705" s="3" t="s">
        <v>486</v>
      </c>
      <c r="N2705" s="3" t="s">
        <v>24</v>
      </c>
      <c r="O2705" s="3" t="s">
        <v>25</v>
      </c>
    </row>
    <row r="2706" spans="1:15">
      <c r="A2706" s="3" t="s">
        <v>15</v>
      </c>
      <c r="B2706" s="3" t="str">
        <f>"FES1162742717"</f>
        <v>FES1162742717</v>
      </c>
      <c r="C2706" s="3" t="s">
        <v>1949</v>
      </c>
      <c r="D2706" s="3">
        <v>1</v>
      </c>
      <c r="E2706" s="3" t="str">
        <f>"2170732359"</f>
        <v>2170732359</v>
      </c>
      <c r="F2706" s="3" t="s">
        <v>17</v>
      </c>
      <c r="G2706" s="3" t="s">
        <v>18</v>
      </c>
      <c r="H2706" s="3" t="s">
        <v>66</v>
      </c>
      <c r="I2706" s="3" t="s">
        <v>67</v>
      </c>
      <c r="J2706" s="3" t="s">
        <v>485</v>
      </c>
      <c r="K2706" s="3" t="s">
        <v>1966</v>
      </c>
      <c r="L2706" s="4">
        <v>0.36805555555555558</v>
      </c>
      <c r="M2706" s="3" t="s">
        <v>486</v>
      </c>
      <c r="N2706" s="3" t="s">
        <v>24</v>
      </c>
      <c r="O2706" s="3" t="s">
        <v>25</v>
      </c>
    </row>
    <row r="2707" spans="1:15">
      <c r="A2707" s="3" t="s">
        <v>15</v>
      </c>
      <c r="B2707" s="3" t="str">
        <f>"FES1162742369"</f>
        <v>FES1162742369</v>
      </c>
      <c r="C2707" s="3" t="s">
        <v>1949</v>
      </c>
      <c r="D2707" s="3">
        <v>1</v>
      </c>
      <c r="E2707" s="3" t="str">
        <f>"2170732359"</f>
        <v>2170732359</v>
      </c>
      <c r="F2707" s="3" t="s">
        <v>17</v>
      </c>
      <c r="G2707" s="3" t="s">
        <v>18</v>
      </c>
      <c r="H2707" s="3" t="s">
        <v>66</v>
      </c>
      <c r="I2707" s="3" t="s">
        <v>67</v>
      </c>
      <c r="J2707" s="3" t="s">
        <v>485</v>
      </c>
      <c r="K2707" s="3" t="s">
        <v>1966</v>
      </c>
      <c r="L2707" s="4">
        <v>0.36805555555555558</v>
      </c>
      <c r="M2707" s="3" t="s">
        <v>486</v>
      </c>
      <c r="N2707" s="3" t="s">
        <v>24</v>
      </c>
      <c r="O2707" s="3" t="s">
        <v>25</v>
      </c>
    </row>
    <row r="2708" spans="1:15">
      <c r="A2708" s="3" t="s">
        <v>15</v>
      </c>
      <c r="B2708" s="3" t="str">
        <f>"FES1162742855"</f>
        <v>FES1162742855</v>
      </c>
      <c r="C2708" s="3" t="s">
        <v>1949</v>
      </c>
      <c r="D2708" s="3">
        <v>1</v>
      </c>
      <c r="E2708" s="3" t="str">
        <f>"2170734246"</f>
        <v>2170734246</v>
      </c>
      <c r="F2708" s="3" t="s">
        <v>17</v>
      </c>
      <c r="G2708" s="3" t="s">
        <v>18</v>
      </c>
      <c r="H2708" s="3" t="s">
        <v>18</v>
      </c>
      <c r="I2708" s="3" t="s">
        <v>26</v>
      </c>
      <c r="J2708" s="3" t="s">
        <v>2092</v>
      </c>
      <c r="K2708" s="3" t="s">
        <v>1966</v>
      </c>
      <c r="L2708" s="4">
        <v>0.31111111111111112</v>
      </c>
      <c r="M2708" s="3" t="s">
        <v>28</v>
      </c>
      <c r="N2708" s="3" t="s">
        <v>24</v>
      </c>
      <c r="O2708" s="3" t="s">
        <v>25</v>
      </c>
    </row>
    <row r="2709" spans="1:15">
      <c r="A2709" s="3" t="s">
        <v>15</v>
      </c>
      <c r="B2709" s="3" t="str">
        <f>"FES1162742877"</f>
        <v>FES1162742877</v>
      </c>
      <c r="C2709" s="3" t="s">
        <v>1949</v>
      </c>
      <c r="D2709" s="3">
        <v>1</v>
      </c>
      <c r="E2709" s="3" t="str">
        <f>"2170732281"</f>
        <v>2170732281</v>
      </c>
      <c r="F2709" s="3" t="s">
        <v>17</v>
      </c>
      <c r="G2709" s="3" t="s">
        <v>18</v>
      </c>
      <c r="H2709" s="3" t="s">
        <v>19</v>
      </c>
      <c r="I2709" s="3" t="s">
        <v>51</v>
      </c>
      <c r="J2709" s="3" t="s">
        <v>91</v>
      </c>
      <c r="K2709" s="3" t="s">
        <v>1966</v>
      </c>
      <c r="L2709" s="4">
        <v>0.37847222222222227</v>
      </c>
      <c r="M2709" s="3" t="s">
        <v>1784</v>
      </c>
      <c r="N2709" s="3" t="s">
        <v>24</v>
      </c>
      <c r="O2709" s="3" t="s">
        <v>25</v>
      </c>
    </row>
    <row r="2710" spans="1:15">
      <c r="A2710" s="3" t="s">
        <v>15</v>
      </c>
      <c r="B2710" s="3" t="str">
        <f>"FES1162742870"</f>
        <v>FES1162742870</v>
      </c>
      <c r="C2710" s="3" t="s">
        <v>1949</v>
      </c>
      <c r="D2710" s="3">
        <v>1</v>
      </c>
      <c r="E2710" s="3" t="str">
        <f>"2170731808"</f>
        <v>2170731808</v>
      </c>
      <c r="F2710" s="3" t="s">
        <v>17</v>
      </c>
      <c r="G2710" s="3" t="s">
        <v>18</v>
      </c>
      <c r="H2710" s="3" t="s">
        <v>886</v>
      </c>
      <c r="I2710" s="3" t="s">
        <v>887</v>
      </c>
      <c r="J2710" s="3" t="s">
        <v>888</v>
      </c>
      <c r="K2710" s="3" t="s">
        <v>1966</v>
      </c>
      <c r="L2710" s="4">
        <v>0.41666666666666669</v>
      </c>
      <c r="M2710" s="3" t="s">
        <v>2093</v>
      </c>
      <c r="N2710" s="3" t="s">
        <v>24</v>
      </c>
      <c r="O2710" s="3" t="s">
        <v>25</v>
      </c>
    </row>
    <row r="2711" spans="1:15">
      <c r="A2711" s="3" t="s">
        <v>15</v>
      </c>
      <c r="B2711" s="3" t="str">
        <f>"FES1162742951"</f>
        <v>FES1162742951</v>
      </c>
      <c r="C2711" s="3" t="s">
        <v>1949</v>
      </c>
      <c r="D2711" s="3">
        <v>1</v>
      </c>
      <c r="E2711" s="3" t="str">
        <f>"2170734287"</f>
        <v>2170734287</v>
      </c>
      <c r="F2711" s="3" t="s">
        <v>17</v>
      </c>
      <c r="G2711" s="3" t="s">
        <v>18</v>
      </c>
      <c r="H2711" s="3" t="s">
        <v>100</v>
      </c>
      <c r="I2711" s="3" t="s">
        <v>101</v>
      </c>
      <c r="J2711" s="3" t="s">
        <v>265</v>
      </c>
      <c r="K2711" s="3" t="s">
        <v>1966</v>
      </c>
      <c r="L2711" s="4">
        <v>0.31527777777777777</v>
      </c>
      <c r="M2711" s="3" t="s">
        <v>266</v>
      </c>
      <c r="N2711" s="3" t="s">
        <v>24</v>
      </c>
      <c r="O2711" s="3" t="s">
        <v>25</v>
      </c>
    </row>
    <row r="2712" spans="1:15">
      <c r="A2712" s="3" t="s">
        <v>15</v>
      </c>
      <c r="B2712" s="3" t="str">
        <f>"FES1162742932"</f>
        <v>FES1162742932</v>
      </c>
      <c r="C2712" s="3" t="s">
        <v>1949</v>
      </c>
      <c r="D2712" s="3">
        <v>1</v>
      </c>
      <c r="E2712" s="3" t="str">
        <f>"2170734273"</f>
        <v>2170734273</v>
      </c>
      <c r="F2712" s="3" t="s">
        <v>17</v>
      </c>
      <c r="G2712" s="3" t="s">
        <v>18</v>
      </c>
      <c r="H2712" s="3" t="s">
        <v>100</v>
      </c>
      <c r="I2712" s="3" t="s">
        <v>101</v>
      </c>
      <c r="J2712" s="3" t="s">
        <v>289</v>
      </c>
      <c r="K2712" s="3" t="s">
        <v>1966</v>
      </c>
      <c r="L2712" s="4">
        <v>0.42430555555555555</v>
      </c>
      <c r="M2712" s="3" t="s">
        <v>290</v>
      </c>
      <c r="N2712" s="3" t="s">
        <v>24</v>
      </c>
      <c r="O2712" s="3" t="s">
        <v>25</v>
      </c>
    </row>
    <row r="2713" spans="1:15">
      <c r="A2713" s="3" t="s">
        <v>15</v>
      </c>
      <c r="B2713" s="3" t="str">
        <f>"FES1162742874"</f>
        <v>FES1162742874</v>
      </c>
      <c r="C2713" s="3" t="s">
        <v>1949</v>
      </c>
      <c r="D2713" s="3">
        <v>1</v>
      </c>
      <c r="E2713" s="3" t="str">
        <f>"2170732013"</f>
        <v>2170732013</v>
      </c>
      <c r="F2713" s="3" t="s">
        <v>17</v>
      </c>
      <c r="G2713" s="3" t="s">
        <v>18</v>
      </c>
      <c r="H2713" s="3" t="s">
        <v>537</v>
      </c>
      <c r="I2713" s="3" t="s">
        <v>538</v>
      </c>
      <c r="J2713" s="3" t="s">
        <v>1106</v>
      </c>
      <c r="K2713" s="3" t="s">
        <v>1966</v>
      </c>
      <c r="L2713" s="4">
        <v>0.33333333333333331</v>
      </c>
      <c r="M2713" s="3" t="s">
        <v>1024</v>
      </c>
      <c r="N2713" s="3" t="s">
        <v>24</v>
      </c>
      <c r="O2713" s="3" t="s">
        <v>25</v>
      </c>
    </row>
    <row r="2714" spans="1:15">
      <c r="A2714" s="3" t="s">
        <v>15</v>
      </c>
      <c r="B2714" s="3" t="str">
        <f>"FES1162742892"</f>
        <v>FES1162742892</v>
      </c>
      <c r="C2714" s="3" t="s">
        <v>1949</v>
      </c>
      <c r="D2714" s="3">
        <v>1</v>
      </c>
      <c r="E2714" s="3" t="str">
        <f>"2170732417"</f>
        <v>2170732417</v>
      </c>
      <c r="F2714" s="3" t="s">
        <v>17</v>
      </c>
      <c r="G2714" s="3" t="s">
        <v>18</v>
      </c>
      <c r="H2714" s="3" t="s">
        <v>19</v>
      </c>
      <c r="I2714" s="3" t="s">
        <v>86</v>
      </c>
      <c r="J2714" s="3" t="s">
        <v>273</v>
      </c>
      <c r="K2714" s="3" t="s">
        <v>1966</v>
      </c>
      <c r="L2714" s="4">
        <v>0.3527777777777778</v>
      </c>
      <c r="M2714" s="3" t="s">
        <v>1955</v>
      </c>
      <c r="N2714" s="3" t="s">
        <v>24</v>
      </c>
      <c r="O2714" s="3" t="s">
        <v>25</v>
      </c>
    </row>
    <row r="2715" spans="1:15">
      <c r="A2715" s="3" t="s">
        <v>15</v>
      </c>
      <c r="B2715" s="3" t="str">
        <f>"FES1162742890"</f>
        <v>FES1162742890</v>
      </c>
      <c r="C2715" s="3" t="s">
        <v>1949</v>
      </c>
      <c r="D2715" s="3">
        <v>1</v>
      </c>
      <c r="E2715" s="3" t="str">
        <f>"2170732406"</f>
        <v>2170732406</v>
      </c>
      <c r="F2715" s="3" t="s">
        <v>17</v>
      </c>
      <c r="G2715" s="3" t="s">
        <v>18</v>
      </c>
      <c r="H2715" s="3" t="s">
        <v>19</v>
      </c>
      <c r="I2715" s="3" t="s">
        <v>51</v>
      </c>
      <c r="J2715" s="3" t="s">
        <v>429</v>
      </c>
      <c r="K2715" s="3" t="s">
        <v>1966</v>
      </c>
      <c r="L2715" s="4">
        <v>0.54027777777777775</v>
      </c>
      <c r="M2715" s="3" t="s">
        <v>982</v>
      </c>
      <c r="N2715" s="3" t="s">
        <v>24</v>
      </c>
      <c r="O2715" s="3" t="s">
        <v>25</v>
      </c>
    </row>
    <row r="2716" spans="1:15">
      <c r="A2716" s="3" t="s">
        <v>15</v>
      </c>
      <c r="B2716" s="3" t="str">
        <f>"FES1162742873"</f>
        <v>FES1162742873</v>
      </c>
      <c r="C2716" s="3" t="s">
        <v>1949</v>
      </c>
      <c r="D2716" s="3">
        <v>1</v>
      </c>
      <c r="E2716" s="3" t="str">
        <f>"2170731985"</f>
        <v>2170731985</v>
      </c>
      <c r="F2716" s="3" t="s">
        <v>17</v>
      </c>
      <c r="G2716" s="3" t="s">
        <v>18</v>
      </c>
      <c r="H2716" s="3" t="s">
        <v>66</v>
      </c>
      <c r="I2716" s="3" t="s">
        <v>67</v>
      </c>
      <c r="J2716" s="3" t="s">
        <v>2094</v>
      </c>
      <c r="K2716" s="3" t="s">
        <v>1966</v>
      </c>
      <c r="L2716" s="4">
        <v>0.40972222222222227</v>
      </c>
      <c r="M2716" s="3" t="s">
        <v>2095</v>
      </c>
      <c r="N2716" s="3" t="s">
        <v>24</v>
      </c>
      <c r="O2716" s="3" t="s">
        <v>25</v>
      </c>
    </row>
    <row r="2717" spans="1:15">
      <c r="A2717" s="3" t="s">
        <v>15</v>
      </c>
      <c r="B2717" s="3" t="str">
        <f>"FES1162742885"</f>
        <v>FES1162742885</v>
      </c>
      <c r="C2717" s="3" t="s">
        <v>1949</v>
      </c>
      <c r="D2717" s="3">
        <v>1</v>
      </c>
      <c r="E2717" s="3" t="str">
        <f>"2170732381"</f>
        <v>2170732381</v>
      </c>
      <c r="F2717" s="3" t="s">
        <v>17</v>
      </c>
      <c r="G2717" s="3" t="s">
        <v>18</v>
      </c>
      <c r="H2717" s="3" t="s">
        <v>66</v>
      </c>
      <c r="I2717" s="3" t="s">
        <v>67</v>
      </c>
      <c r="J2717" s="3" t="s">
        <v>140</v>
      </c>
      <c r="K2717" s="3" t="s">
        <v>1966</v>
      </c>
      <c r="L2717" s="4">
        <v>0.3444444444444445</v>
      </c>
      <c r="M2717" s="3" t="s">
        <v>2096</v>
      </c>
      <c r="N2717" s="3" t="s">
        <v>24</v>
      </c>
      <c r="O2717" s="3" t="s">
        <v>25</v>
      </c>
    </row>
    <row r="2718" spans="1:15">
      <c r="A2718" s="3" t="s">
        <v>15</v>
      </c>
      <c r="B2718" s="3" t="str">
        <f>"FES1162740901"</f>
        <v>FES1162740901</v>
      </c>
      <c r="C2718" s="3" t="s">
        <v>1949</v>
      </c>
      <c r="D2718" s="3">
        <v>1</v>
      </c>
      <c r="E2718" s="3" t="str">
        <f>"2170732359"</f>
        <v>2170732359</v>
      </c>
      <c r="F2718" s="3" t="s">
        <v>17</v>
      </c>
      <c r="G2718" s="3" t="s">
        <v>18</v>
      </c>
      <c r="H2718" s="3" t="s">
        <v>66</v>
      </c>
      <c r="I2718" s="3" t="s">
        <v>67</v>
      </c>
      <c r="J2718" s="3" t="s">
        <v>485</v>
      </c>
      <c r="K2718" s="3" t="s">
        <v>1966</v>
      </c>
      <c r="L2718" s="4">
        <v>0.36805555555555558</v>
      </c>
      <c r="M2718" s="3" t="s">
        <v>486</v>
      </c>
      <c r="N2718" s="3" t="s">
        <v>24</v>
      </c>
      <c r="O2718" s="3" t="s">
        <v>25</v>
      </c>
    </row>
    <row r="2719" spans="1:15">
      <c r="A2719" s="3" t="s">
        <v>15</v>
      </c>
      <c r="B2719" s="3" t="str">
        <f>"FES1162742901"</f>
        <v>FES1162742901</v>
      </c>
      <c r="C2719" s="3" t="s">
        <v>1949</v>
      </c>
      <c r="D2719" s="3">
        <v>1</v>
      </c>
      <c r="E2719" s="3" t="str">
        <f>"2170732694"</f>
        <v>2170732694</v>
      </c>
      <c r="F2719" s="3" t="s">
        <v>17</v>
      </c>
      <c r="G2719" s="3" t="s">
        <v>18</v>
      </c>
      <c r="H2719" s="3" t="s">
        <v>18</v>
      </c>
      <c r="I2719" s="3" t="s">
        <v>29</v>
      </c>
      <c r="J2719" s="3" t="s">
        <v>493</v>
      </c>
      <c r="K2719" s="3" t="s">
        <v>1966</v>
      </c>
      <c r="L2719" s="4">
        <v>0.29166666666666669</v>
      </c>
      <c r="M2719" s="3" t="s">
        <v>494</v>
      </c>
      <c r="N2719" s="3" t="s">
        <v>24</v>
      </c>
      <c r="O2719" s="3" t="s">
        <v>25</v>
      </c>
    </row>
    <row r="2720" spans="1:15">
      <c r="A2720" s="3" t="s">
        <v>15</v>
      </c>
      <c r="B2720" s="3" t="str">
        <f>"FES1162742913"</f>
        <v>FES1162742913</v>
      </c>
      <c r="C2720" s="3" t="s">
        <v>1949</v>
      </c>
      <c r="D2720" s="3">
        <v>1</v>
      </c>
      <c r="E2720" s="3" t="str">
        <f>"2170733383"</f>
        <v>2170733383</v>
      </c>
      <c r="F2720" s="3" t="s">
        <v>17</v>
      </c>
      <c r="G2720" s="3" t="s">
        <v>18</v>
      </c>
      <c r="H2720" s="3" t="s">
        <v>18</v>
      </c>
      <c r="I2720" s="3" t="s">
        <v>29</v>
      </c>
      <c r="J2720" s="3" t="s">
        <v>618</v>
      </c>
      <c r="K2720" s="3" t="s">
        <v>1966</v>
      </c>
      <c r="L2720" s="4">
        <v>0.31944444444444448</v>
      </c>
      <c r="M2720" s="3" t="s">
        <v>1626</v>
      </c>
      <c r="N2720" s="3" t="s">
        <v>24</v>
      </c>
      <c r="O2720" s="3" t="s">
        <v>25</v>
      </c>
    </row>
    <row r="2721" spans="1:15">
      <c r="A2721" s="3" t="s">
        <v>15</v>
      </c>
      <c r="B2721" s="3" t="str">
        <f>"FES1162742797"</f>
        <v>FES1162742797</v>
      </c>
      <c r="C2721" s="3" t="s">
        <v>1949</v>
      </c>
      <c r="D2721" s="3">
        <v>1</v>
      </c>
      <c r="E2721" s="3" t="str">
        <f>"2170734183"</f>
        <v>2170734183</v>
      </c>
      <c r="F2721" s="3" t="s">
        <v>17</v>
      </c>
      <c r="G2721" s="3" t="s">
        <v>18</v>
      </c>
      <c r="H2721" s="3" t="s">
        <v>18</v>
      </c>
      <c r="I2721" s="3" t="s">
        <v>151</v>
      </c>
      <c r="J2721" s="3" t="s">
        <v>616</v>
      </c>
      <c r="K2721" s="3" t="s">
        <v>1966</v>
      </c>
      <c r="L2721" s="4">
        <v>0.4145833333333333</v>
      </c>
      <c r="M2721" s="3" t="s">
        <v>2097</v>
      </c>
      <c r="N2721" s="3" t="s">
        <v>24</v>
      </c>
      <c r="O2721" s="3" t="s">
        <v>25</v>
      </c>
    </row>
    <row r="2722" spans="1:15">
      <c r="A2722" s="3" t="s">
        <v>15</v>
      </c>
      <c r="B2722" s="3" t="str">
        <f>"FES1162742857"</f>
        <v>FES1162742857</v>
      </c>
      <c r="C2722" s="3" t="s">
        <v>1949</v>
      </c>
      <c r="D2722" s="3">
        <v>1</v>
      </c>
      <c r="E2722" s="3" t="str">
        <f>"2170734252"</f>
        <v>2170734252</v>
      </c>
      <c r="F2722" s="3" t="s">
        <v>17</v>
      </c>
      <c r="G2722" s="3" t="s">
        <v>18</v>
      </c>
      <c r="H2722" s="3" t="s">
        <v>948</v>
      </c>
      <c r="I2722" s="3" t="s">
        <v>29</v>
      </c>
      <c r="J2722" s="3" t="s">
        <v>2098</v>
      </c>
      <c r="K2722" s="3" t="s">
        <v>1966</v>
      </c>
      <c r="L2722" s="4">
        <v>0.31597222222222221</v>
      </c>
      <c r="M2722" s="3" t="s">
        <v>842</v>
      </c>
      <c r="N2722" s="3" t="s">
        <v>24</v>
      </c>
      <c r="O2722" s="3" t="s">
        <v>25</v>
      </c>
    </row>
    <row r="2723" spans="1:15">
      <c r="A2723" s="3" t="s">
        <v>15</v>
      </c>
      <c r="B2723" s="3" t="str">
        <f>"FES1162742843"</f>
        <v>FES1162742843</v>
      </c>
      <c r="C2723" s="3" t="s">
        <v>1949</v>
      </c>
      <c r="D2723" s="3">
        <v>1</v>
      </c>
      <c r="E2723" s="3" t="str">
        <f>"2170734231"</f>
        <v>2170734231</v>
      </c>
      <c r="F2723" s="3" t="s">
        <v>17</v>
      </c>
      <c r="G2723" s="3" t="s">
        <v>18</v>
      </c>
      <c r="H2723" s="3" t="s">
        <v>18</v>
      </c>
      <c r="I2723" s="3" t="s">
        <v>151</v>
      </c>
      <c r="J2723" s="3" t="s">
        <v>1371</v>
      </c>
      <c r="K2723" s="3" t="s">
        <v>1966</v>
      </c>
      <c r="L2723" s="4">
        <v>0.34722222222222227</v>
      </c>
      <c r="M2723" s="3" t="s">
        <v>2099</v>
      </c>
      <c r="N2723" s="3" t="s">
        <v>24</v>
      </c>
      <c r="O2723" s="3" t="s">
        <v>25</v>
      </c>
    </row>
    <row r="2724" spans="1:15">
      <c r="A2724" s="3" t="s">
        <v>15</v>
      </c>
      <c r="B2724" s="3" t="str">
        <f>"FES1162742816"</f>
        <v>FES1162742816</v>
      </c>
      <c r="C2724" s="3" t="s">
        <v>1949</v>
      </c>
      <c r="D2724" s="3">
        <v>1</v>
      </c>
      <c r="E2724" s="3" t="str">
        <f>"2170732816"</f>
        <v>2170732816</v>
      </c>
      <c r="F2724" s="3" t="s">
        <v>17</v>
      </c>
      <c r="G2724" s="3" t="s">
        <v>18</v>
      </c>
      <c r="H2724" s="3" t="s">
        <v>18</v>
      </c>
      <c r="I2724" s="3" t="s">
        <v>453</v>
      </c>
      <c r="J2724" s="3" t="s">
        <v>395</v>
      </c>
      <c r="K2724" s="3" t="s">
        <v>1966</v>
      </c>
      <c r="L2724" s="4">
        <v>0.33333333333333331</v>
      </c>
      <c r="M2724" s="3" t="s">
        <v>1272</v>
      </c>
      <c r="N2724" s="3" t="s">
        <v>24</v>
      </c>
      <c r="O2724" s="3" t="s">
        <v>25</v>
      </c>
    </row>
    <row r="2725" spans="1:15">
      <c r="A2725" s="3" t="s">
        <v>15</v>
      </c>
      <c r="B2725" s="3" t="str">
        <f>"FES1162742912"</f>
        <v>FES1162742912</v>
      </c>
      <c r="C2725" s="3" t="s">
        <v>1949</v>
      </c>
      <c r="D2725" s="3">
        <v>1</v>
      </c>
      <c r="E2725" s="3" t="str">
        <f>"2170733255"</f>
        <v>2170733255</v>
      </c>
      <c r="F2725" s="3" t="s">
        <v>17</v>
      </c>
      <c r="G2725" s="3" t="s">
        <v>18</v>
      </c>
      <c r="H2725" s="3" t="s">
        <v>18</v>
      </c>
      <c r="I2725" s="3" t="s">
        <v>168</v>
      </c>
      <c r="J2725" s="3" t="s">
        <v>1177</v>
      </c>
      <c r="K2725" s="3" t="s">
        <v>1966</v>
      </c>
      <c r="L2725" s="4">
        <v>0.39513888888888887</v>
      </c>
      <c r="M2725" s="3" t="s">
        <v>1129</v>
      </c>
      <c r="N2725" s="3" t="s">
        <v>24</v>
      </c>
      <c r="O2725" s="3" t="s">
        <v>25</v>
      </c>
    </row>
    <row r="2726" spans="1:15">
      <c r="A2726" s="3" t="s">
        <v>15</v>
      </c>
      <c r="B2726" s="3" t="str">
        <f>"FES1162742971"</f>
        <v>FES1162742971</v>
      </c>
      <c r="C2726" s="3" t="s">
        <v>1949</v>
      </c>
      <c r="D2726" s="3">
        <v>1</v>
      </c>
      <c r="E2726" s="3" t="str">
        <f>"2170734314"</f>
        <v>2170734314</v>
      </c>
      <c r="F2726" s="3" t="s">
        <v>17</v>
      </c>
      <c r="G2726" s="3" t="s">
        <v>18</v>
      </c>
      <c r="H2726" s="3" t="s">
        <v>66</v>
      </c>
      <c r="I2726" s="3" t="s">
        <v>67</v>
      </c>
      <c r="J2726" s="3" t="s">
        <v>975</v>
      </c>
      <c r="K2726" s="3" t="s">
        <v>1966</v>
      </c>
      <c r="L2726" s="4">
        <v>0.375</v>
      </c>
      <c r="M2726" s="3" t="s">
        <v>2100</v>
      </c>
      <c r="N2726" s="3" t="s">
        <v>24</v>
      </c>
      <c r="O2726" s="3" t="s">
        <v>25</v>
      </c>
    </row>
    <row r="2727" spans="1:15">
      <c r="A2727" s="5" t="s">
        <v>15</v>
      </c>
      <c r="B2727" s="5" t="str">
        <f>"FES1162742858"</f>
        <v>FES1162742858</v>
      </c>
      <c r="C2727" s="5" t="s">
        <v>1949</v>
      </c>
      <c r="D2727" s="5">
        <v>1</v>
      </c>
      <c r="E2727" s="5" t="str">
        <f>"2170726106"</f>
        <v>2170726106</v>
      </c>
      <c r="F2727" s="5" t="s">
        <v>17</v>
      </c>
      <c r="G2727" s="5" t="s">
        <v>18</v>
      </c>
      <c r="H2727" s="5" t="s">
        <v>18</v>
      </c>
      <c r="I2727" s="5" t="s">
        <v>163</v>
      </c>
      <c r="J2727" s="5" t="s">
        <v>164</v>
      </c>
      <c r="K2727" s="5" t="s">
        <v>1966</v>
      </c>
      <c r="L2727" s="6">
        <v>0.41666666666666669</v>
      </c>
      <c r="M2727" s="5" t="s">
        <v>165</v>
      </c>
      <c r="N2727" s="5" t="s">
        <v>24</v>
      </c>
      <c r="O2727" s="5" t="s">
        <v>25</v>
      </c>
    </row>
    <row r="2728" spans="1:15">
      <c r="A2728" s="5" t="s">
        <v>15</v>
      </c>
      <c r="B2728" s="5" t="str">
        <f>"FES1162742934"</f>
        <v>FES1162742934</v>
      </c>
      <c r="C2728" s="5" t="s">
        <v>1949</v>
      </c>
      <c r="D2728" s="5">
        <v>1</v>
      </c>
      <c r="E2728" s="5" t="str">
        <f>"2170734277"</f>
        <v>2170734277</v>
      </c>
      <c r="F2728" s="5" t="s">
        <v>17</v>
      </c>
      <c r="G2728" s="5" t="s">
        <v>18</v>
      </c>
      <c r="H2728" s="5" t="s">
        <v>19</v>
      </c>
      <c r="I2728" s="5" t="s">
        <v>20</v>
      </c>
      <c r="J2728" s="5" t="s">
        <v>1141</v>
      </c>
      <c r="K2728" s="5" t="s">
        <v>1966</v>
      </c>
      <c r="L2728" s="6">
        <v>0.31944444444444448</v>
      </c>
      <c r="M2728" s="5" t="s">
        <v>1688</v>
      </c>
      <c r="N2728" s="5" t="s">
        <v>24</v>
      </c>
      <c r="O2728" s="5" t="s">
        <v>25</v>
      </c>
    </row>
    <row r="2729" spans="1:15">
      <c r="A2729" s="5" t="s">
        <v>15</v>
      </c>
      <c r="B2729" s="5" t="str">
        <f>"FES1162742926"</f>
        <v>FES1162742926</v>
      </c>
      <c r="C2729" s="5" t="s">
        <v>1949</v>
      </c>
      <c r="D2729" s="5">
        <v>1</v>
      </c>
      <c r="E2729" s="5" t="str">
        <f>"2170734261"</f>
        <v>2170734261</v>
      </c>
      <c r="F2729" s="5" t="s">
        <v>17</v>
      </c>
      <c r="G2729" s="5" t="s">
        <v>18</v>
      </c>
      <c r="H2729" s="5" t="s">
        <v>19</v>
      </c>
      <c r="I2729" s="5" t="s">
        <v>20</v>
      </c>
      <c r="J2729" s="5" t="s">
        <v>417</v>
      </c>
      <c r="K2729" s="5" t="s">
        <v>1966</v>
      </c>
      <c r="L2729" s="6">
        <v>0.31944444444444448</v>
      </c>
      <c r="M2729" s="5" t="s">
        <v>2101</v>
      </c>
      <c r="N2729" s="5" t="s">
        <v>24</v>
      </c>
      <c r="O2729" s="5" t="s">
        <v>2038</v>
      </c>
    </row>
    <row r="2730" spans="1:15">
      <c r="A2730" s="5" t="s">
        <v>15</v>
      </c>
      <c r="B2730" s="5" t="str">
        <f>"FES1162742798"</f>
        <v>FES1162742798</v>
      </c>
      <c r="C2730" s="5" t="s">
        <v>1949</v>
      </c>
      <c r="D2730" s="5">
        <v>1</v>
      </c>
      <c r="E2730" s="5" t="str">
        <f>"2170734184"</f>
        <v>2170734184</v>
      </c>
      <c r="F2730" s="5" t="s">
        <v>17</v>
      </c>
      <c r="G2730" s="5" t="s">
        <v>18</v>
      </c>
      <c r="H2730" s="5" t="s">
        <v>18</v>
      </c>
      <c r="I2730" s="5" t="s">
        <v>151</v>
      </c>
      <c r="J2730" s="5" t="s">
        <v>616</v>
      </c>
      <c r="K2730" s="5" t="s">
        <v>1966</v>
      </c>
      <c r="L2730" s="6">
        <v>0.4152777777777778</v>
      </c>
      <c r="M2730" s="5" t="s">
        <v>2097</v>
      </c>
      <c r="N2730" s="5" t="s">
        <v>24</v>
      </c>
      <c r="O2730" s="5" t="s">
        <v>25</v>
      </c>
    </row>
    <row r="2731" spans="1:15">
      <c r="A2731" s="5" t="s">
        <v>15</v>
      </c>
      <c r="B2731" s="5" t="str">
        <f>"FES1162742853"</f>
        <v>FES1162742853</v>
      </c>
      <c r="C2731" s="5" t="s">
        <v>1949</v>
      </c>
      <c r="D2731" s="5">
        <v>1</v>
      </c>
      <c r="E2731" s="5" t="str">
        <f>"2170734243"</f>
        <v>2170734243</v>
      </c>
      <c r="F2731" s="5" t="s">
        <v>17</v>
      </c>
      <c r="G2731" s="5" t="s">
        <v>18</v>
      </c>
      <c r="H2731" s="5" t="s">
        <v>18</v>
      </c>
      <c r="I2731" s="5" t="s">
        <v>33</v>
      </c>
      <c r="J2731" s="5" t="s">
        <v>1028</v>
      </c>
      <c r="K2731" s="5" t="s">
        <v>1966</v>
      </c>
      <c r="L2731" s="6">
        <v>0.40416666666666662</v>
      </c>
      <c r="M2731" s="5" t="s">
        <v>2102</v>
      </c>
      <c r="N2731" s="5" t="s">
        <v>24</v>
      </c>
      <c r="O2731" s="5" t="s">
        <v>25</v>
      </c>
    </row>
    <row r="2732" spans="1:15">
      <c r="A2732" s="5" t="s">
        <v>15</v>
      </c>
      <c r="B2732" s="5" t="str">
        <f>"FES1162742869"</f>
        <v>FES1162742869</v>
      </c>
      <c r="C2732" s="5" t="s">
        <v>1949</v>
      </c>
      <c r="D2732" s="5">
        <v>1</v>
      </c>
      <c r="E2732" s="5" t="str">
        <f>"2170731711"</f>
        <v>2170731711</v>
      </c>
      <c r="F2732" s="5" t="s">
        <v>17</v>
      </c>
      <c r="G2732" s="5" t="s">
        <v>18</v>
      </c>
      <c r="H2732" s="5" t="s">
        <v>18</v>
      </c>
      <c r="I2732" s="5" t="s">
        <v>33</v>
      </c>
      <c r="J2732" s="5" t="s">
        <v>93</v>
      </c>
      <c r="K2732" s="5" t="s">
        <v>1966</v>
      </c>
      <c r="L2732" s="6">
        <v>0.33333333333333331</v>
      </c>
      <c r="M2732" s="5" t="s">
        <v>182</v>
      </c>
      <c r="N2732" s="5" t="s">
        <v>24</v>
      </c>
      <c r="O2732" s="5" t="s">
        <v>25</v>
      </c>
    </row>
    <row r="2733" spans="1:15">
      <c r="A2733" s="3" t="s">
        <v>15</v>
      </c>
      <c r="B2733" s="3" t="str">
        <f>"FES1162742910"</f>
        <v>FES1162742910</v>
      </c>
      <c r="C2733" s="3" t="s">
        <v>1949</v>
      </c>
      <c r="D2733" s="3">
        <v>1</v>
      </c>
      <c r="E2733" s="3" t="str">
        <f>"2170733202"</f>
        <v>2170733202</v>
      </c>
      <c r="F2733" s="3" t="s">
        <v>17</v>
      </c>
      <c r="G2733" s="3" t="s">
        <v>18</v>
      </c>
      <c r="H2733" s="3" t="s">
        <v>18</v>
      </c>
      <c r="I2733" s="3" t="s">
        <v>33</v>
      </c>
      <c r="J2733" s="3" t="s">
        <v>1878</v>
      </c>
      <c r="K2733" s="3" t="s">
        <v>1966</v>
      </c>
      <c r="L2733" s="4">
        <v>0.39444444444444443</v>
      </c>
      <c r="M2733" s="3" t="s">
        <v>1129</v>
      </c>
      <c r="N2733" s="3" t="s">
        <v>24</v>
      </c>
      <c r="O2733" s="3" t="s">
        <v>25</v>
      </c>
    </row>
    <row r="2734" spans="1:15">
      <c r="A2734" s="3" t="s">
        <v>15</v>
      </c>
      <c r="B2734" s="3" t="str">
        <f>"FES1162742880"</f>
        <v>FES1162742880</v>
      </c>
      <c r="C2734" s="3" t="s">
        <v>1949</v>
      </c>
      <c r="D2734" s="3">
        <v>1</v>
      </c>
      <c r="E2734" s="3" t="str">
        <f>"2170732343"</f>
        <v>2170732343</v>
      </c>
      <c r="F2734" s="3" t="s">
        <v>17</v>
      </c>
      <c r="G2734" s="3" t="s">
        <v>18</v>
      </c>
      <c r="H2734" s="3" t="s">
        <v>18</v>
      </c>
      <c r="I2734" s="3" t="s">
        <v>163</v>
      </c>
      <c r="J2734" s="3" t="s">
        <v>164</v>
      </c>
      <c r="K2734" s="3" t="s">
        <v>1966</v>
      </c>
      <c r="L2734" s="4">
        <v>0.33333333333333331</v>
      </c>
      <c r="M2734" s="3" t="s">
        <v>2103</v>
      </c>
      <c r="N2734" s="3" t="s">
        <v>24</v>
      </c>
      <c r="O2734" s="3" t="s">
        <v>25</v>
      </c>
    </row>
    <row r="2735" spans="1:15">
      <c r="A2735" s="3" t="s">
        <v>15</v>
      </c>
      <c r="B2735" s="3" t="str">
        <f>"FES1162742939"</f>
        <v>FES1162742939</v>
      </c>
      <c r="C2735" s="3" t="s">
        <v>1949</v>
      </c>
      <c r="D2735" s="3">
        <v>1</v>
      </c>
      <c r="E2735" s="3" t="str">
        <f>"2170734208"</f>
        <v>2170734208</v>
      </c>
      <c r="F2735" s="3" t="s">
        <v>17</v>
      </c>
      <c r="G2735" s="3" t="s">
        <v>18</v>
      </c>
      <c r="H2735" s="3" t="s">
        <v>66</v>
      </c>
      <c r="I2735" s="3" t="s">
        <v>67</v>
      </c>
      <c r="J2735" s="3" t="s">
        <v>2079</v>
      </c>
      <c r="K2735" s="3" t="s">
        <v>1966</v>
      </c>
      <c r="L2735" s="4">
        <v>0.40277777777777773</v>
      </c>
      <c r="M2735" s="3" t="s">
        <v>466</v>
      </c>
      <c r="N2735" s="3" t="s">
        <v>24</v>
      </c>
      <c r="O2735" s="3" t="s">
        <v>25</v>
      </c>
    </row>
    <row r="2736" spans="1:15">
      <c r="A2736" s="3" t="s">
        <v>15</v>
      </c>
      <c r="B2736" s="3" t="str">
        <f>"FES1162742940"</f>
        <v>FES1162742940</v>
      </c>
      <c r="C2736" s="3" t="s">
        <v>1949</v>
      </c>
      <c r="D2736" s="3">
        <v>1</v>
      </c>
      <c r="E2736" s="3" t="str">
        <f>"2170734247"</f>
        <v>2170734247</v>
      </c>
      <c r="F2736" s="3" t="s">
        <v>17</v>
      </c>
      <c r="G2736" s="3" t="s">
        <v>18</v>
      </c>
      <c r="H2736" s="3" t="s">
        <v>18</v>
      </c>
      <c r="I2736" s="3" t="s">
        <v>171</v>
      </c>
      <c r="J2736" s="3" t="s">
        <v>2104</v>
      </c>
      <c r="K2736" s="3" t="s">
        <v>1966</v>
      </c>
      <c r="L2736" s="4">
        <v>0.33819444444444446</v>
      </c>
      <c r="M2736" s="3" t="s">
        <v>2105</v>
      </c>
      <c r="N2736" s="3" t="s">
        <v>24</v>
      </c>
      <c r="O2736" s="3" t="s">
        <v>25</v>
      </c>
    </row>
    <row r="2737" spans="1:15">
      <c r="A2737" s="3" t="s">
        <v>15</v>
      </c>
      <c r="B2737" s="3" t="str">
        <f>"FES1162742876"</f>
        <v>FES1162742876</v>
      </c>
      <c r="C2737" s="3" t="s">
        <v>1949</v>
      </c>
      <c r="D2737" s="3">
        <v>1</v>
      </c>
      <c r="E2737" s="3" t="str">
        <f>"2170732266"</f>
        <v>2170732266</v>
      </c>
      <c r="F2737" s="3" t="s">
        <v>17</v>
      </c>
      <c r="G2737" s="3" t="s">
        <v>18</v>
      </c>
      <c r="H2737" s="3" t="s">
        <v>18</v>
      </c>
      <c r="I2737" s="3" t="s">
        <v>33</v>
      </c>
      <c r="J2737" s="3" t="s">
        <v>872</v>
      </c>
      <c r="K2737" s="3" t="s">
        <v>1966</v>
      </c>
      <c r="L2737" s="4">
        <v>0.33333333333333331</v>
      </c>
      <c r="M2737" s="3" t="s">
        <v>2106</v>
      </c>
      <c r="N2737" s="3" t="s">
        <v>24</v>
      </c>
      <c r="O2737" s="3" t="s">
        <v>25</v>
      </c>
    </row>
    <row r="2738" spans="1:15">
      <c r="A2738" s="3" t="s">
        <v>15</v>
      </c>
      <c r="B2738" s="3" t="str">
        <f>"FES1162742943"</f>
        <v>FES1162742943</v>
      </c>
      <c r="C2738" s="3" t="s">
        <v>1949</v>
      </c>
      <c r="D2738" s="3">
        <v>2</v>
      </c>
      <c r="E2738" s="3" t="str">
        <f>"2170732873"</f>
        <v>2170732873</v>
      </c>
      <c r="F2738" s="3" t="s">
        <v>17</v>
      </c>
      <c r="G2738" s="3" t="s">
        <v>18</v>
      </c>
      <c r="H2738" s="3" t="s">
        <v>18</v>
      </c>
      <c r="I2738" s="3" t="s">
        <v>26</v>
      </c>
      <c r="J2738" s="3" t="s">
        <v>2107</v>
      </c>
      <c r="K2738" s="3" t="s">
        <v>1966</v>
      </c>
      <c r="L2738" s="4">
        <v>0.33958333333333335</v>
      </c>
      <c r="M2738" s="3" t="s">
        <v>2108</v>
      </c>
      <c r="N2738" s="3" t="s">
        <v>24</v>
      </c>
      <c r="O2738" s="3" t="s">
        <v>25</v>
      </c>
    </row>
    <row r="2739" spans="1:15">
      <c r="A2739" s="3" t="s">
        <v>15</v>
      </c>
      <c r="B2739" s="3" t="str">
        <f>"FES1162742907"</f>
        <v>FES1162742907</v>
      </c>
      <c r="C2739" s="3" t="s">
        <v>1949</v>
      </c>
      <c r="D2739" s="3">
        <v>1</v>
      </c>
      <c r="E2739" s="3" t="str">
        <f>"2170732885"</f>
        <v>2170732885</v>
      </c>
      <c r="F2739" s="3" t="s">
        <v>17</v>
      </c>
      <c r="G2739" s="3" t="s">
        <v>18</v>
      </c>
      <c r="H2739" s="3" t="s">
        <v>70</v>
      </c>
      <c r="I2739" s="3" t="s">
        <v>71</v>
      </c>
      <c r="J2739" s="3" t="s">
        <v>248</v>
      </c>
      <c r="K2739" s="3" t="s">
        <v>1966</v>
      </c>
      <c r="L2739" s="4">
        <v>0.36805555555555558</v>
      </c>
      <c r="M2739" s="3" t="s">
        <v>1208</v>
      </c>
      <c r="N2739" s="3" t="s">
        <v>24</v>
      </c>
      <c r="O2739" s="3" t="s">
        <v>25</v>
      </c>
    </row>
    <row r="2740" spans="1:15">
      <c r="A2740" s="3" t="s">
        <v>15</v>
      </c>
      <c r="B2740" s="3" t="str">
        <f>"FES1162742875"</f>
        <v>FES1162742875</v>
      </c>
      <c r="C2740" s="3" t="s">
        <v>1949</v>
      </c>
      <c r="D2740" s="3">
        <v>1</v>
      </c>
      <c r="E2740" s="3" t="str">
        <f>"2170732081"</f>
        <v>2170732081</v>
      </c>
      <c r="F2740" s="3" t="s">
        <v>17</v>
      </c>
      <c r="G2740" s="3" t="s">
        <v>18</v>
      </c>
      <c r="H2740" s="3" t="s">
        <v>19</v>
      </c>
      <c r="I2740" s="3" t="s">
        <v>236</v>
      </c>
      <c r="J2740" s="3" t="s">
        <v>257</v>
      </c>
      <c r="K2740" s="3" t="s">
        <v>1966</v>
      </c>
      <c r="L2740" s="4">
        <v>0.3444444444444445</v>
      </c>
      <c r="M2740" s="3" t="s">
        <v>258</v>
      </c>
      <c r="N2740" s="3" t="s">
        <v>24</v>
      </c>
      <c r="O2740" s="3" t="s">
        <v>25</v>
      </c>
    </row>
    <row r="2741" spans="1:15">
      <c r="A2741" s="3" t="s">
        <v>15</v>
      </c>
      <c r="B2741" s="3" t="str">
        <f>"FES1162742924"</f>
        <v>FES1162742924</v>
      </c>
      <c r="C2741" s="3" t="s">
        <v>1949</v>
      </c>
      <c r="D2741" s="3">
        <v>1</v>
      </c>
      <c r="E2741" s="3" t="str">
        <f>"2170734258"</f>
        <v>2170734258</v>
      </c>
      <c r="F2741" s="3" t="s">
        <v>17</v>
      </c>
      <c r="G2741" s="3" t="s">
        <v>18</v>
      </c>
      <c r="H2741" s="3" t="s">
        <v>18</v>
      </c>
      <c r="I2741" s="3" t="s">
        <v>151</v>
      </c>
      <c r="J2741" s="3" t="s">
        <v>2109</v>
      </c>
      <c r="K2741" s="3" t="s">
        <v>1966</v>
      </c>
      <c r="L2741" s="4">
        <v>0.32013888888888892</v>
      </c>
      <c r="M2741" s="3" t="s">
        <v>2110</v>
      </c>
      <c r="N2741" s="3" t="s">
        <v>24</v>
      </c>
      <c r="O2741" s="3" t="s">
        <v>25</v>
      </c>
    </row>
    <row r="2742" spans="1:15">
      <c r="A2742" s="3" t="s">
        <v>15</v>
      </c>
      <c r="B2742" s="3" t="str">
        <f>"FES1162742920"</f>
        <v>FES1162742920</v>
      </c>
      <c r="C2742" s="3" t="s">
        <v>1949</v>
      </c>
      <c r="D2742" s="3">
        <v>1</v>
      </c>
      <c r="E2742" s="3" t="str">
        <f>"2170734169"</f>
        <v>2170734169</v>
      </c>
      <c r="F2742" s="3" t="s">
        <v>17</v>
      </c>
      <c r="G2742" s="3" t="s">
        <v>18</v>
      </c>
      <c r="H2742" s="3" t="s">
        <v>36</v>
      </c>
      <c r="I2742" s="3" t="s">
        <v>37</v>
      </c>
      <c r="J2742" s="3" t="s">
        <v>1354</v>
      </c>
      <c r="K2742" s="3" t="s">
        <v>1966</v>
      </c>
      <c r="L2742" s="4">
        <v>0.84375</v>
      </c>
      <c r="M2742" s="3" t="s">
        <v>2111</v>
      </c>
      <c r="N2742" s="3" t="s">
        <v>24</v>
      </c>
      <c r="O2742" s="3" t="s">
        <v>25</v>
      </c>
    </row>
    <row r="2743" spans="1:15">
      <c r="A2743" s="3" t="s">
        <v>15</v>
      </c>
      <c r="B2743" s="3" t="str">
        <f>"FES1162742927"</f>
        <v>FES1162742927</v>
      </c>
      <c r="C2743" s="3" t="s">
        <v>1949</v>
      </c>
      <c r="D2743" s="3">
        <v>1</v>
      </c>
      <c r="E2743" s="3" t="str">
        <f>"2170734263"</f>
        <v>2170734263</v>
      </c>
      <c r="F2743" s="3" t="s">
        <v>17</v>
      </c>
      <c r="G2743" s="3" t="s">
        <v>18</v>
      </c>
      <c r="H2743" s="3" t="s">
        <v>46</v>
      </c>
      <c r="I2743" s="3" t="s">
        <v>47</v>
      </c>
      <c r="J2743" s="3" t="s">
        <v>497</v>
      </c>
      <c r="K2743" s="3" t="s">
        <v>1966</v>
      </c>
      <c r="L2743" s="4">
        <v>0.43333333333333335</v>
      </c>
      <c r="M2743" s="3" t="s">
        <v>2112</v>
      </c>
      <c r="N2743" s="3" t="s">
        <v>24</v>
      </c>
      <c r="O2743" s="3" t="s">
        <v>25</v>
      </c>
    </row>
    <row r="2744" spans="1:15">
      <c r="A2744" s="3" t="s">
        <v>15</v>
      </c>
      <c r="B2744" s="3" t="str">
        <f>"FES1162742959"</f>
        <v>FES1162742959</v>
      </c>
      <c r="C2744" s="3" t="s">
        <v>1949</v>
      </c>
      <c r="D2744" s="3">
        <v>1</v>
      </c>
      <c r="E2744" s="3" t="str">
        <f>"2170734299"</f>
        <v>2170734299</v>
      </c>
      <c r="F2744" s="3" t="s">
        <v>17</v>
      </c>
      <c r="G2744" s="3" t="s">
        <v>18</v>
      </c>
      <c r="H2744" s="3" t="s">
        <v>100</v>
      </c>
      <c r="I2744" s="3" t="s">
        <v>117</v>
      </c>
      <c r="J2744" s="3" t="s">
        <v>1789</v>
      </c>
      <c r="K2744" s="3" t="s">
        <v>1966</v>
      </c>
      <c r="L2744" s="4">
        <v>0.44722222222222219</v>
      </c>
      <c r="M2744" s="3" t="s">
        <v>2113</v>
      </c>
      <c r="N2744" s="3" t="s">
        <v>24</v>
      </c>
      <c r="O2744" s="3" t="s">
        <v>25</v>
      </c>
    </row>
    <row r="2745" spans="1:15">
      <c r="A2745" s="3" t="s">
        <v>15</v>
      </c>
      <c r="B2745" s="3" t="str">
        <f>"FES1162742970"</f>
        <v>FES1162742970</v>
      </c>
      <c r="C2745" s="3" t="s">
        <v>1949</v>
      </c>
      <c r="D2745" s="3">
        <v>1</v>
      </c>
      <c r="E2745" s="3" t="str">
        <f>"2170734313"</f>
        <v>2170734313</v>
      </c>
      <c r="F2745" s="3" t="s">
        <v>17</v>
      </c>
      <c r="G2745" s="3" t="s">
        <v>18</v>
      </c>
      <c r="H2745" s="3" t="s">
        <v>100</v>
      </c>
      <c r="I2745" s="3" t="s">
        <v>117</v>
      </c>
      <c r="J2745" s="3" t="s">
        <v>285</v>
      </c>
      <c r="K2745" s="3" t="s">
        <v>1966</v>
      </c>
      <c r="L2745" s="4">
        <v>0.45069444444444445</v>
      </c>
      <c r="M2745" s="3" t="s">
        <v>1895</v>
      </c>
      <c r="N2745" s="3" t="s">
        <v>24</v>
      </c>
      <c r="O2745" s="3" t="s">
        <v>25</v>
      </c>
    </row>
    <row r="2746" spans="1:15">
      <c r="A2746" s="3" t="s">
        <v>15</v>
      </c>
      <c r="B2746" s="3" t="str">
        <f>"FES1162742968"</f>
        <v>FES1162742968</v>
      </c>
      <c r="C2746" s="3" t="s">
        <v>1949</v>
      </c>
      <c r="D2746" s="3">
        <v>1</v>
      </c>
      <c r="E2746" s="3" t="str">
        <f>"2170734310"</f>
        <v>2170734310</v>
      </c>
      <c r="F2746" s="3" t="s">
        <v>17</v>
      </c>
      <c r="G2746" s="3" t="s">
        <v>18</v>
      </c>
      <c r="H2746" s="3" t="s">
        <v>100</v>
      </c>
      <c r="I2746" s="3" t="s">
        <v>117</v>
      </c>
      <c r="J2746" s="3" t="s">
        <v>285</v>
      </c>
      <c r="K2746" s="3" t="s">
        <v>1966</v>
      </c>
      <c r="L2746" s="4">
        <v>0.45069444444444445</v>
      </c>
      <c r="M2746" s="3" t="s">
        <v>1895</v>
      </c>
      <c r="N2746" s="3" t="s">
        <v>24</v>
      </c>
      <c r="O2746" s="3" t="s">
        <v>25</v>
      </c>
    </row>
    <row r="2747" spans="1:15">
      <c r="A2747" s="3" t="s">
        <v>15</v>
      </c>
      <c r="B2747" s="3" t="str">
        <f>"FES1162742948"</f>
        <v>FES1162742948</v>
      </c>
      <c r="C2747" s="3" t="s">
        <v>1949</v>
      </c>
      <c r="D2747" s="3">
        <v>1</v>
      </c>
      <c r="E2747" s="3" t="str">
        <f>"2170734284"</f>
        <v>2170734284</v>
      </c>
      <c r="F2747" s="3" t="s">
        <v>17</v>
      </c>
      <c r="G2747" s="3" t="s">
        <v>18</v>
      </c>
      <c r="H2747" s="3" t="s">
        <v>46</v>
      </c>
      <c r="I2747" s="3" t="s">
        <v>47</v>
      </c>
      <c r="J2747" s="3" t="s">
        <v>48</v>
      </c>
      <c r="K2747" s="3" t="s">
        <v>1966</v>
      </c>
      <c r="L2747" s="4">
        <v>0.43402777777777773</v>
      </c>
      <c r="M2747" s="3" t="s">
        <v>1508</v>
      </c>
      <c r="N2747" s="3" t="s">
        <v>24</v>
      </c>
      <c r="O2747" s="3" t="s">
        <v>25</v>
      </c>
    </row>
    <row r="2748" spans="1:15">
      <c r="A2748" s="3" t="s">
        <v>15</v>
      </c>
      <c r="B2748" s="3" t="str">
        <f>"FES1162742925"</f>
        <v>FES1162742925</v>
      </c>
      <c r="C2748" s="3" t="s">
        <v>1949</v>
      </c>
      <c r="D2748" s="3">
        <v>1</v>
      </c>
      <c r="E2748" s="3" t="str">
        <f>"2170734260"</f>
        <v>2170734260</v>
      </c>
      <c r="F2748" s="3" t="s">
        <v>17</v>
      </c>
      <c r="G2748" s="3" t="s">
        <v>18</v>
      </c>
      <c r="H2748" s="3" t="s">
        <v>19</v>
      </c>
      <c r="I2748" s="3" t="s">
        <v>20</v>
      </c>
      <c r="J2748" s="3" t="s">
        <v>56</v>
      </c>
      <c r="K2748" s="3" t="s">
        <v>1966</v>
      </c>
      <c r="L2748" s="4">
        <v>0.35138888888888892</v>
      </c>
      <c r="M2748" s="3" t="s">
        <v>57</v>
      </c>
      <c r="N2748" s="3" t="s">
        <v>24</v>
      </c>
      <c r="O2748" s="3" t="s">
        <v>25</v>
      </c>
    </row>
    <row r="2749" spans="1:15">
      <c r="A2749" s="3" t="s">
        <v>15</v>
      </c>
      <c r="B2749" s="3" t="str">
        <f>"FES1162742929"</f>
        <v>FES1162742929</v>
      </c>
      <c r="C2749" s="3" t="s">
        <v>1949</v>
      </c>
      <c r="D2749" s="3">
        <v>1</v>
      </c>
      <c r="E2749" s="3" t="str">
        <f>"2170734266"</f>
        <v>2170734266</v>
      </c>
      <c r="F2749" s="3" t="s">
        <v>17</v>
      </c>
      <c r="G2749" s="3" t="s">
        <v>18</v>
      </c>
      <c r="H2749" s="3" t="s">
        <v>19</v>
      </c>
      <c r="I2749" s="3" t="s">
        <v>20</v>
      </c>
      <c r="J2749" s="3" t="s">
        <v>1829</v>
      </c>
      <c r="K2749" s="3" t="s">
        <v>1966</v>
      </c>
      <c r="L2749" s="4">
        <v>0.55347222222222225</v>
      </c>
      <c r="M2749" s="3" t="s">
        <v>2114</v>
      </c>
      <c r="N2749" s="3" t="s">
        <v>24</v>
      </c>
      <c r="O2749" s="3" t="s">
        <v>25</v>
      </c>
    </row>
    <row r="2750" spans="1:15">
      <c r="A2750" s="3" t="s">
        <v>15</v>
      </c>
      <c r="B2750" s="3" t="str">
        <f>"FES1162742879"</f>
        <v>FES1162742879</v>
      </c>
      <c r="C2750" s="3" t="s">
        <v>1949</v>
      </c>
      <c r="D2750" s="3">
        <v>1</v>
      </c>
      <c r="E2750" s="3" t="str">
        <f>"2170732319"</f>
        <v>2170732319</v>
      </c>
      <c r="F2750" s="3" t="s">
        <v>17</v>
      </c>
      <c r="G2750" s="3" t="s">
        <v>18</v>
      </c>
      <c r="H2750" s="3" t="s">
        <v>886</v>
      </c>
      <c r="I2750" s="3" t="s">
        <v>887</v>
      </c>
      <c r="J2750" s="3" t="s">
        <v>888</v>
      </c>
      <c r="K2750" s="3" t="s">
        <v>1966</v>
      </c>
      <c r="L2750" s="4">
        <v>0.45833333333333331</v>
      </c>
      <c r="M2750" s="3" t="s">
        <v>2093</v>
      </c>
      <c r="N2750" s="3" t="s">
        <v>24</v>
      </c>
      <c r="O2750" s="3" t="s">
        <v>25</v>
      </c>
    </row>
    <row r="2751" spans="1:15">
      <c r="A2751" s="3" t="s">
        <v>15</v>
      </c>
      <c r="B2751" s="3" t="str">
        <f>"FES1162742887"</f>
        <v>FES1162742887</v>
      </c>
      <c r="C2751" s="3" t="s">
        <v>1949</v>
      </c>
      <c r="D2751" s="3">
        <v>1</v>
      </c>
      <c r="E2751" s="3" t="str">
        <f>"2170732834"</f>
        <v>2170732834</v>
      </c>
      <c r="F2751" s="3" t="s">
        <v>17</v>
      </c>
      <c r="G2751" s="3" t="s">
        <v>18</v>
      </c>
      <c r="H2751" s="3" t="s">
        <v>19</v>
      </c>
      <c r="I2751" s="3" t="s">
        <v>51</v>
      </c>
      <c r="J2751" s="3" t="s">
        <v>89</v>
      </c>
      <c r="K2751" s="3" t="s">
        <v>1966</v>
      </c>
      <c r="L2751" s="4">
        <v>0.33611111111111108</v>
      </c>
      <c r="M2751" s="3" t="s">
        <v>419</v>
      </c>
      <c r="N2751" s="3" t="s">
        <v>24</v>
      </c>
      <c r="O2751" s="3" t="s">
        <v>25</v>
      </c>
    </row>
    <row r="2752" spans="1:15">
      <c r="A2752" s="3" t="s">
        <v>15</v>
      </c>
      <c r="B2752" s="3" t="str">
        <f>"FES1162742930"</f>
        <v>FES1162742930</v>
      </c>
      <c r="C2752" s="3" t="s">
        <v>1949</v>
      </c>
      <c r="D2752" s="3">
        <v>1</v>
      </c>
      <c r="E2752" s="3" t="str">
        <f>"2170734268"</f>
        <v>2170734268</v>
      </c>
      <c r="F2752" s="3" t="s">
        <v>17</v>
      </c>
      <c r="G2752" s="3" t="s">
        <v>18</v>
      </c>
      <c r="H2752" s="3" t="s">
        <v>19</v>
      </c>
      <c r="I2752" s="3" t="s">
        <v>86</v>
      </c>
      <c r="J2752" s="3" t="s">
        <v>87</v>
      </c>
      <c r="K2752" s="3" t="s">
        <v>1966</v>
      </c>
      <c r="L2752" s="4">
        <v>0.3520833333333333</v>
      </c>
      <c r="M2752" s="3" t="s">
        <v>88</v>
      </c>
      <c r="N2752" s="3" t="s">
        <v>24</v>
      </c>
      <c r="O2752" s="3" t="s">
        <v>25</v>
      </c>
    </row>
    <row r="2753" spans="1:15">
      <c r="A2753" s="3" t="s">
        <v>15</v>
      </c>
      <c r="B2753" s="3" t="str">
        <f>"FES1162742967"</f>
        <v>FES1162742967</v>
      </c>
      <c r="C2753" s="3" t="s">
        <v>1949</v>
      </c>
      <c r="D2753" s="3">
        <v>1</v>
      </c>
      <c r="E2753" s="3" t="str">
        <f>"2170734309"</f>
        <v>2170734309</v>
      </c>
      <c r="F2753" s="3" t="s">
        <v>17</v>
      </c>
      <c r="G2753" s="3" t="s">
        <v>18</v>
      </c>
      <c r="H2753" s="3" t="s">
        <v>19</v>
      </c>
      <c r="I2753" s="3" t="s">
        <v>86</v>
      </c>
      <c r="J2753" s="3" t="s">
        <v>1622</v>
      </c>
      <c r="K2753" s="3" t="s">
        <v>1966</v>
      </c>
      <c r="L2753" s="4">
        <v>0.4993055555555555</v>
      </c>
      <c r="M2753" s="3" t="s">
        <v>2115</v>
      </c>
      <c r="N2753" s="3" t="s">
        <v>24</v>
      </c>
      <c r="O2753" s="3" t="s">
        <v>25</v>
      </c>
    </row>
    <row r="2754" spans="1:15">
      <c r="A2754" s="3" t="s">
        <v>15</v>
      </c>
      <c r="B2754" s="3" t="str">
        <f>"FES1162742904"</f>
        <v>FES1162742904</v>
      </c>
      <c r="C2754" s="3" t="s">
        <v>1949</v>
      </c>
      <c r="D2754" s="3">
        <v>1</v>
      </c>
      <c r="E2754" s="3" t="str">
        <f>"2170732797"</f>
        <v>2170732797</v>
      </c>
      <c r="F2754" s="3" t="s">
        <v>17</v>
      </c>
      <c r="G2754" s="3" t="s">
        <v>18</v>
      </c>
      <c r="H2754" s="3" t="s">
        <v>18</v>
      </c>
      <c r="I2754" s="3" t="s">
        <v>151</v>
      </c>
      <c r="J2754" s="3" t="s">
        <v>556</v>
      </c>
      <c r="K2754" s="3" t="s">
        <v>1966</v>
      </c>
      <c r="L2754" s="4">
        <v>0.35833333333333334</v>
      </c>
      <c r="M2754" s="3" t="s">
        <v>557</v>
      </c>
      <c r="N2754" s="3" t="s">
        <v>24</v>
      </c>
      <c r="O2754" s="3" t="s">
        <v>25</v>
      </c>
    </row>
    <row r="2755" spans="1:15">
      <c r="A2755" s="3" t="s">
        <v>15</v>
      </c>
      <c r="B2755" s="3" t="str">
        <f>"FES1162742917"</f>
        <v>FES1162742917</v>
      </c>
      <c r="C2755" s="3" t="s">
        <v>1949</v>
      </c>
      <c r="D2755" s="3">
        <v>1</v>
      </c>
      <c r="E2755" s="3" t="str">
        <f>"2170734052"</f>
        <v>2170734052</v>
      </c>
      <c r="F2755" s="3" t="s">
        <v>17</v>
      </c>
      <c r="G2755" s="3" t="s">
        <v>18</v>
      </c>
      <c r="H2755" s="3" t="s">
        <v>18</v>
      </c>
      <c r="I2755" s="3" t="s">
        <v>171</v>
      </c>
      <c r="J2755" s="3" t="s">
        <v>1599</v>
      </c>
      <c r="K2755" s="3" t="s">
        <v>1966</v>
      </c>
      <c r="L2755" s="4">
        <v>0.33333333333333331</v>
      </c>
      <c r="M2755" s="3" t="s">
        <v>1821</v>
      </c>
      <c r="N2755" s="3" t="s">
        <v>24</v>
      </c>
      <c r="O2755" s="3" t="s">
        <v>25</v>
      </c>
    </row>
    <row r="2756" spans="1:15">
      <c r="A2756" s="3" t="s">
        <v>15</v>
      </c>
      <c r="B2756" s="3" t="str">
        <f>"FES1162742893"</f>
        <v>FES1162742893</v>
      </c>
      <c r="C2756" s="3" t="s">
        <v>1949</v>
      </c>
      <c r="D2756" s="3">
        <v>1</v>
      </c>
      <c r="E2756" s="3" t="str">
        <f>"2170732420"</f>
        <v>2170732420</v>
      </c>
      <c r="F2756" s="3" t="s">
        <v>17</v>
      </c>
      <c r="G2756" s="3" t="s">
        <v>18</v>
      </c>
      <c r="H2756" s="3" t="s">
        <v>18</v>
      </c>
      <c r="I2756" s="3" t="s">
        <v>206</v>
      </c>
      <c r="J2756" s="3" t="s">
        <v>325</v>
      </c>
      <c r="K2756" s="3" t="s">
        <v>1966</v>
      </c>
      <c r="L2756" s="4">
        <v>0.4375</v>
      </c>
      <c r="M2756" s="3" t="s">
        <v>1096</v>
      </c>
      <c r="N2756" s="3" t="s">
        <v>24</v>
      </c>
      <c r="O2756" s="3" t="s">
        <v>25</v>
      </c>
    </row>
    <row r="2757" spans="1:15">
      <c r="A2757" s="3" t="s">
        <v>15</v>
      </c>
      <c r="B2757" s="3" t="str">
        <f>"FES1162742990"</f>
        <v>FES1162742990</v>
      </c>
      <c r="C2757" s="3" t="s">
        <v>1949</v>
      </c>
      <c r="D2757" s="3">
        <v>1</v>
      </c>
      <c r="E2757" s="3" t="str">
        <f>"2170735540"</f>
        <v>2170735540</v>
      </c>
      <c r="F2757" s="3" t="s">
        <v>17</v>
      </c>
      <c r="G2757" s="3" t="s">
        <v>18</v>
      </c>
      <c r="H2757" s="3" t="s">
        <v>36</v>
      </c>
      <c r="I2757" s="3" t="s">
        <v>174</v>
      </c>
      <c r="J2757" s="3" t="s">
        <v>712</v>
      </c>
      <c r="K2757" s="3" t="s">
        <v>2116</v>
      </c>
      <c r="L2757" s="4">
        <v>0.375</v>
      </c>
      <c r="M2757" s="3" t="s">
        <v>2117</v>
      </c>
      <c r="N2757" s="3" t="s">
        <v>24</v>
      </c>
      <c r="O2757" s="3" t="s">
        <v>25</v>
      </c>
    </row>
    <row r="2758" spans="1:15">
      <c r="A2758" s="3" t="s">
        <v>15</v>
      </c>
      <c r="B2758" s="3" t="str">
        <f>"FES1162741910"</f>
        <v>FES1162741910</v>
      </c>
      <c r="C2758" s="3" t="s">
        <v>1949</v>
      </c>
      <c r="D2758" s="3">
        <v>1</v>
      </c>
      <c r="E2758" s="3" t="str">
        <f>"2170733190"</f>
        <v>2170733190</v>
      </c>
      <c r="F2758" s="3" t="s">
        <v>17</v>
      </c>
      <c r="G2758" s="3" t="s">
        <v>18</v>
      </c>
      <c r="H2758" s="3" t="s">
        <v>36</v>
      </c>
      <c r="I2758" s="3" t="s">
        <v>37</v>
      </c>
      <c r="J2758" s="3" t="s">
        <v>593</v>
      </c>
      <c r="K2758" s="3" t="s">
        <v>1966</v>
      </c>
      <c r="L2758" s="4">
        <v>0.35416666666666669</v>
      </c>
      <c r="M2758" s="3" t="s">
        <v>2118</v>
      </c>
      <c r="N2758" s="3" t="s">
        <v>24</v>
      </c>
      <c r="O2758" s="3" t="s">
        <v>25</v>
      </c>
    </row>
    <row r="2759" spans="1:15">
      <c r="A2759" s="3" t="s">
        <v>15</v>
      </c>
      <c r="B2759" s="3" t="str">
        <f>"FES1162742974"</f>
        <v>FES1162742974</v>
      </c>
      <c r="C2759" s="3" t="s">
        <v>1949</v>
      </c>
      <c r="D2759" s="3">
        <v>1</v>
      </c>
      <c r="E2759" s="3" t="str">
        <f>"2170734319"</f>
        <v>2170734319</v>
      </c>
      <c r="F2759" s="3" t="s">
        <v>17</v>
      </c>
      <c r="G2759" s="3" t="s">
        <v>18</v>
      </c>
      <c r="H2759" s="3" t="s">
        <v>36</v>
      </c>
      <c r="I2759" s="3" t="s">
        <v>37</v>
      </c>
      <c r="J2759" s="3" t="s">
        <v>38</v>
      </c>
      <c r="K2759" s="3" t="s">
        <v>1966</v>
      </c>
      <c r="L2759" s="4">
        <v>0.42152777777777778</v>
      </c>
      <c r="M2759" s="3" t="s">
        <v>2119</v>
      </c>
      <c r="N2759" s="3" t="s">
        <v>24</v>
      </c>
      <c r="O2759" s="3" t="s">
        <v>25</v>
      </c>
    </row>
    <row r="2760" spans="1:15">
      <c r="A2760" s="3" t="s">
        <v>15</v>
      </c>
      <c r="B2760" s="3" t="str">
        <f>"FES1162742989"</f>
        <v>FES1162742989</v>
      </c>
      <c r="C2760" s="3" t="s">
        <v>1949</v>
      </c>
      <c r="D2760" s="3">
        <v>2</v>
      </c>
      <c r="E2760" s="3" t="str">
        <f>"2170733507"</f>
        <v>2170733507</v>
      </c>
      <c r="F2760" s="3" t="s">
        <v>17</v>
      </c>
      <c r="G2760" s="3" t="s">
        <v>18</v>
      </c>
      <c r="H2760" s="3" t="s">
        <v>46</v>
      </c>
      <c r="I2760" s="3" t="s">
        <v>620</v>
      </c>
      <c r="J2760" s="3" t="s">
        <v>621</v>
      </c>
      <c r="K2760" s="3" t="s">
        <v>1966</v>
      </c>
      <c r="L2760" s="3" t="s">
        <v>622</v>
      </c>
      <c r="M2760" s="3" t="s">
        <v>2120</v>
      </c>
      <c r="N2760" s="3" t="s">
        <v>24</v>
      </c>
      <c r="O2760" s="3" t="s">
        <v>25</v>
      </c>
    </row>
    <row r="2761" spans="1:15">
      <c r="A2761" s="3" t="s">
        <v>15</v>
      </c>
      <c r="B2761" s="3" t="str">
        <f>"FES1162742975"</f>
        <v>FES1162742975</v>
      </c>
      <c r="C2761" s="3" t="s">
        <v>1949</v>
      </c>
      <c r="D2761" s="3">
        <v>1</v>
      </c>
      <c r="E2761" s="3" t="str">
        <f>"2170734315"</f>
        <v>2170734315</v>
      </c>
      <c r="F2761" s="3" t="s">
        <v>17</v>
      </c>
      <c r="G2761" s="3" t="s">
        <v>18</v>
      </c>
      <c r="H2761" s="3" t="s">
        <v>36</v>
      </c>
      <c r="I2761" s="3" t="s">
        <v>37</v>
      </c>
      <c r="J2761" s="3" t="s">
        <v>585</v>
      </c>
      <c r="K2761" s="3" t="s">
        <v>1966</v>
      </c>
      <c r="L2761" s="4">
        <v>0.37986111111111115</v>
      </c>
      <c r="M2761" s="3" t="s">
        <v>1678</v>
      </c>
      <c r="N2761" s="3" t="s">
        <v>24</v>
      </c>
      <c r="O2761" s="3" t="s">
        <v>25</v>
      </c>
    </row>
    <row r="2762" spans="1:15">
      <c r="A2762" s="3" t="s">
        <v>15</v>
      </c>
      <c r="B2762" s="3" t="str">
        <f>"FES1162742980"</f>
        <v>FES1162742980</v>
      </c>
      <c r="C2762" s="3" t="s">
        <v>1949</v>
      </c>
      <c r="D2762" s="3">
        <v>1</v>
      </c>
      <c r="E2762" s="3" t="str">
        <f>"2170734325"</f>
        <v>2170734325</v>
      </c>
      <c r="F2762" s="3" t="s">
        <v>17</v>
      </c>
      <c r="G2762" s="3" t="s">
        <v>18</v>
      </c>
      <c r="H2762" s="3" t="s">
        <v>36</v>
      </c>
      <c r="I2762" s="3" t="s">
        <v>37</v>
      </c>
      <c r="J2762" s="3" t="s">
        <v>38</v>
      </c>
      <c r="K2762" s="3" t="s">
        <v>1966</v>
      </c>
      <c r="L2762" s="4">
        <v>0.42152777777777778</v>
      </c>
      <c r="M2762" s="3" t="s">
        <v>2119</v>
      </c>
      <c r="N2762" s="3" t="s">
        <v>24</v>
      </c>
      <c r="O2762" s="3" t="s">
        <v>25</v>
      </c>
    </row>
    <row r="2763" spans="1:15">
      <c r="A2763" s="3" t="s">
        <v>15</v>
      </c>
      <c r="B2763" s="3" t="str">
        <f>"FES1162742987"</f>
        <v>FES1162742987</v>
      </c>
      <c r="C2763" s="3" t="s">
        <v>1949</v>
      </c>
      <c r="D2763" s="3">
        <v>1</v>
      </c>
      <c r="E2763" s="3" t="str">
        <f>"2170734337"</f>
        <v>2170734337</v>
      </c>
      <c r="F2763" s="3" t="s">
        <v>17</v>
      </c>
      <c r="G2763" s="3" t="s">
        <v>18</v>
      </c>
      <c r="H2763" s="3" t="s">
        <v>36</v>
      </c>
      <c r="I2763" s="3" t="s">
        <v>37</v>
      </c>
      <c r="J2763" s="3" t="s">
        <v>38</v>
      </c>
      <c r="K2763" s="3" t="s">
        <v>1966</v>
      </c>
      <c r="L2763" s="4">
        <v>0.42152777777777778</v>
      </c>
      <c r="M2763" s="3" t="s">
        <v>2119</v>
      </c>
      <c r="N2763" s="3" t="s">
        <v>24</v>
      </c>
      <c r="O2763" s="3" t="s">
        <v>25</v>
      </c>
    </row>
    <row r="2764" spans="1:15">
      <c r="A2764" s="3" t="s">
        <v>15</v>
      </c>
      <c r="B2764" s="3" t="str">
        <f>"FES1162742886"</f>
        <v>FES1162742886</v>
      </c>
      <c r="C2764" s="3" t="s">
        <v>1949</v>
      </c>
      <c r="D2764" s="3">
        <v>1</v>
      </c>
      <c r="E2764" s="3" t="str">
        <f>"2170732382"</f>
        <v>2170732382</v>
      </c>
      <c r="F2764" s="3" t="s">
        <v>17</v>
      </c>
      <c r="G2764" s="3" t="s">
        <v>18</v>
      </c>
      <c r="H2764" s="3" t="s">
        <v>18</v>
      </c>
      <c r="I2764" s="3" t="s">
        <v>309</v>
      </c>
      <c r="J2764" s="3" t="s">
        <v>812</v>
      </c>
      <c r="K2764" s="3" t="s">
        <v>1966</v>
      </c>
      <c r="L2764" s="4">
        <v>0.40486111111111112</v>
      </c>
      <c r="M2764" s="3" t="s">
        <v>2121</v>
      </c>
      <c r="N2764" s="3" t="s">
        <v>24</v>
      </c>
      <c r="O2764" s="3" t="s">
        <v>25</v>
      </c>
    </row>
    <row r="2765" spans="1:15">
      <c r="A2765" s="3" t="s">
        <v>15</v>
      </c>
      <c r="B2765" s="3" t="str">
        <f>"FES1162742867"</f>
        <v>FES1162742867</v>
      </c>
      <c r="C2765" s="3" t="s">
        <v>1949</v>
      </c>
      <c r="D2765" s="3">
        <v>1</v>
      </c>
      <c r="E2765" s="3" t="str">
        <f>"2170731656"</f>
        <v>2170731656</v>
      </c>
      <c r="F2765" s="3" t="s">
        <v>17</v>
      </c>
      <c r="G2765" s="3" t="s">
        <v>18</v>
      </c>
      <c r="H2765" s="3" t="s">
        <v>18</v>
      </c>
      <c r="I2765" s="3" t="s">
        <v>151</v>
      </c>
      <c r="J2765" s="3" t="s">
        <v>692</v>
      </c>
      <c r="K2765" s="3" t="s">
        <v>1966</v>
      </c>
      <c r="L2765" s="4">
        <v>0.375</v>
      </c>
      <c r="M2765" s="3" t="s">
        <v>2122</v>
      </c>
      <c r="N2765" s="3" t="s">
        <v>24</v>
      </c>
      <c r="O2765" s="3" t="s">
        <v>25</v>
      </c>
    </row>
    <row r="2766" spans="1:15">
      <c r="A2766" s="3" t="s">
        <v>15</v>
      </c>
      <c r="B2766" s="3" t="str">
        <f>"FES1162742999"</f>
        <v>FES1162742999</v>
      </c>
      <c r="C2766" s="3" t="s">
        <v>1949</v>
      </c>
      <c r="D2766" s="3">
        <v>1</v>
      </c>
      <c r="E2766" s="3" t="str">
        <f>"2170734354"</f>
        <v>2170734354</v>
      </c>
      <c r="F2766" s="3" t="s">
        <v>17</v>
      </c>
      <c r="G2766" s="3" t="s">
        <v>18</v>
      </c>
      <c r="H2766" s="3" t="s">
        <v>36</v>
      </c>
      <c r="I2766" s="3" t="s">
        <v>37</v>
      </c>
      <c r="J2766" s="3" t="s">
        <v>38</v>
      </c>
      <c r="K2766" s="3" t="s">
        <v>1966</v>
      </c>
      <c r="L2766" s="4">
        <v>0.42152777777777778</v>
      </c>
      <c r="M2766" s="3" t="s">
        <v>2119</v>
      </c>
      <c r="N2766" s="3" t="s">
        <v>24</v>
      </c>
      <c r="O2766" s="3" t="s">
        <v>25</v>
      </c>
    </row>
    <row r="2767" spans="1:15">
      <c r="A2767" s="3" t="s">
        <v>15</v>
      </c>
      <c r="B2767" s="3" t="str">
        <f>"FES1162742965"</f>
        <v>FES1162742965</v>
      </c>
      <c r="C2767" s="3" t="s">
        <v>1949</v>
      </c>
      <c r="D2767" s="3">
        <v>1</v>
      </c>
      <c r="E2767" s="3" t="str">
        <f>"2170734307"</f>
        <v>2170734307</v>
      </c>
      <c r="F2767" s="3" t="s">
        <v>17</v>
      </c>
      <c r="G2767" s="3" t="s">
        <v>18</v>
      </c>
      <c r="H2767" s="3" t="s">
        <v>18</v>
      </c>
      <c r="I2767" s="3" t="s">
        <v>33</v>
      </c>
      <c r="J2767" s="3" t="s">
        <v>2123</v>
      </c>
      <c r="K2767" s="3" t="s">
        <v>1966</v>
      </c>
      <c r="L2767" s="4">
        <v>0.33333333333333331</v>
      </c>
      <c r="M2767" s="3" t="s">
        <v>182</v>
      </c>
      <c r="N2767" s="3" t="s">
        <v>24</v>
      </c>
      <c r="O2767" s="3" t="s">
        <v>25</v>
      </c>
    </row>
    <row r="2768" spans="1:15">
      <c r="A2768" s="11" t="s">
        <v>15</v>
      </c>
      <c r="B2768" s="11" t="str">
        <f>"FES1162742931"</f>
        <v>FES1162742931</v>
      </c>
      <c r="C2768" s="11" t="s">
        <v>1949</v>
      </c>
      <c r="D2768" s="11">
        <v>1</v>
      </c>
      <c r="E2768" s="11" t="str">
        <f>"2170734270"</f>
        <v>2170734270</v>
      </c>
      <c r="F2768" s="11" t="s">
        <v>17</v>
      </c>
      <c r="G2768" s="11" t="s">
        <v>18</v>
      </c>
      <c r="H2768" s="11" t="s">
        <v>18</v>
      </c>
      <c r="I2768" s="11" t="s">
        <v>29</v>
      </c>
      <c r="J2768" s="11" t="s">
        <v>192</v>
      </c>
      <c r="K2768" s="11" t="s">
        <v>447</v>
      </c>
      <c r="L2768" s="11"/>
      <c r="M2768" s="11" t="s">
        <v>448</v>
      </c>
      <c r="N2768" s="11" t="s">
        <v>1675</v>
      </c>
      <c r="O2768" s="11" t="s">
        <v>25</v>
      </c>
    </row>
    <row r="2769" spans="1:15">
      <c r="A2769" s="3" t="s">
        <v>15</v>
      </c>
      <c r="B2769" s="3" t="str">
        <f>"FES1162742933"</f>
        <v>FES1162742933</v>
      </c>
      <c r="C2769" s="3" t="s">
        <v>1949</v>
      </c>
      <c r="D2769" s="3">
        <v>1</v>
      </c>
      <c r="E2769" s="3" t="str">
        <f>"2170734276"</f>
        <v>2170734276</v>
      </c>
      <c r="F2769" s="3" t="s">
        <v>17</v>
      </c>
      <c r="G2769" s="3" t="s">
        <v>18</v>
      </c>
      <c r="H2769" s="3" t="s">
        <v>18</v>
      </c>
      <c r="I2769" s="3" t="s">
        <v>184</v>
      </c>
      <c r="J2769" s="3" t="s">
        <v>185</v>
      </c>
      <c r="K2769" s="3" t="s">
        <v>1966</v>
      </c>
      <c r="L2769" s="4">
        <v>0.33333333333333331</v>
      </c>
      <c r="M2769" s="3" t="s">
        <v>2124</v>
      </c>
      <c r="N2769" s="3" t="s">
        <v>24</v>
      </c>
      <c r="O2769" s="3" t="s">
        <v>25</v>
      </c>
    </row>
    <row r="2770" spans="1:15">
      <c r="A2770" s="3" t="s">
        <v>15</v>
      </c>
      <c r="B2770" s="3" t="str">
        <f>"FES1162742888"</f>
        <v>FES1162742888</v>
      </c>
      <c r="C2770" s="3" t="s">
        <v>1949</v>
      </c>
      <c r="D2770" s="3">
        <v>1</v>
      </c>
      <c r="E2770" s="3" t="str">
        <f>"2170732388"</f>
        <v>2170732388</v>
      </c>
      <c r="F2770" s="3" t="s">
        <v>17</v>
      </c>
      <c r="G2770" s="3" t="s">
        <v>18</v>
      </c>
      <c r="H2770" s="3" t="s">
        <v>19</v>
      </c>
      <c r="I2770" s="3" t="s">
        <v>51</v>
      </c>
      <c r="J2770" s="3" t="s">
        <v>89</v>
      </c>
      <c r="K2770" s="3" t="s">
        <v>1966</v>
      </c>
      <c r="L2770" s="4">
        <v>0.33680555555555558</v>
      </c>
      <c r="M2770" s="3" t="s">
        <v>419</v>
      </c>
      <c r="N2770" s="3" t="s">
        <v>24</v>
      </c>
      <c r="O2770" s="3" t="s">
        <v>25</v>
      </c>
    </row>
    <row r="2771" spans="1:15">
      <c r="A2771" s="3" t="s">
        <v>15</v>
      </c>
      <c r="B2771" s="3" t="str">
        <f>"FES1162742860"</f>
        <v>FES1162742860</v>
      </c>
      <c r="C2771" s="3" t="s">
        <v>1949</v>
      </c>
      <c r="D2771" s="3">
        <v>1</v>
      </c>
      <c r="E2771" s="3" t="str">
        <f>"2170729190"</f>
        <v>2170729190</v>
      </c>
      <c r="F2771" s="3" t="s">
        <v>17</v>
      </c>
      <c r="G2771" s="3" t="s">
        <v>18</v>
      </c>
      <c r="H2771" s="3" t="s">
        <v>19</v>
      </c>
      <c r="I2771" s="3" t="s">
        <v>51</v>
      </c>
      <c r="J2771" s="3" t="s">
        <v>209</v>
      </c>
      <c r="K2771" s="3" t="s">
        <v>1966</v>
      </c>
      <c r="L2771" s="4">
        <v>0.44097222222222227</v>
      </c>
      <c r="M2771" s="3" t="s">
        <v>1372</v>
      </c>
      <c r="N2771" s="3" t="s">
        <v>24</v>
      </c>
      <c r="O2771" s="3" t="s">
        <v>25</v>
      </c>
    </row>
    <row r="2772" spans="1:15">
      <c r="A2772" s="3" t="s">
        <v>15</v>
      </c>
      <c r="B2772" s="3" t="str">
        <f>"FES1162742868"</f>
        <v>FES1162742868</v>
      </c>
      <c r="C2772" s="3" t="s">
        <v>1949</v>
      </c>
      <c r="D2772" s="3">
        <v>1</v>
      </c>
      <c r="E2772" s="3" t="str">
        <f>"2170731682"</f>
        <v>2170731682</v>
      </c>
      <c r="F2772" s="3" t="s">
        <v>17</v>
      </c>
      <c r="G2772" s="3" t="s">
        <v>18</v>
      </c>
      <c r="H2772" s="3" t="s">
        <v>19</v>
      </c>
      <c r="I2772" s="3" t="s">
        <v>51</v>
      </c>
      <c r="J2772" s="3" t="s">
        <v>89</v>
      </c>
      <c r="K2772" s="3" t="s">
        <v>1966</v>
      </c>
      <c r="L2772" s="4">
        <v>0.33611111111111108</v>
      </c>
      <c r="M2772" s="3" t="s">
        <v>419</v>
      </c>
      <c r="N2772" s="3" t="s">
        <v>24</v>
      </c>
      <c r="O2772" s="3" t="s">
        <v>25</v>
      </c>
    </row>
    <row r="2773" spans="1:15">
      <c r="A2773" s="3" t="s">
        <v>15</v>
      </c>
      <c r="B2773" s="3" t="str">
        <f>"FES1162743002"</f>
        <v>FES1162743002</v>
      </c>
      <c r="C2773" s="3" t="s">
        <v>1949</v>
      </c>
      <c r="D2773" s="3">
        <v>1</v>
      </c>
      <c r="E2773" s="3" t="str">
        <f>"2170734343"</f>
        <v>2170734343</v>
      </c>
      <c r="F2773" s="3" t="s">
        <v>17</v>
      </c>
      <c r="G2773" s="3" t="s">
        <v>18</v>
      </c>
      <c r="H2773" s="3" t="s">
        <v>36</v>
      </c>
      <c r="I2773" s="3" t="s">
        <v>37</v>
      </c>
      <c r="J2773" s="3" t="s">
        <v>2125</v>
      </c>
      <c r="K2773" s="3" t="s">
        <v>1966</v>
      </c>
      <c r="L2773" s="4">
        <v>0.39027777777777778</v>
      </c>
      <c r="M2773" s="3" t="s">
        <v>2126</v>
      </c>
      <c r="N2773" s="3" t="s">
        <v>24</v>
      </c>
      <c r="O2773" s="3" t="s">
        <v>25</v>
      </c>
    </row>
    <row r="2774" spans="1:15">
      <c r="A2774" s="3" t="s">
        <v>15</v>
      </c>
      <c r="B2774" s="3" t="str">
        <f>"FES1162743017"</f>
        <v>FES1162743017</v>
      </c>
      <c r="C2774" s="3" t="s">
        <v>1949</v>
      </c>
      <c r="D2774" s="3">
        <v>1</v>
      </c>
      <c r="E2774" s="3" t="str">
        <f>"2170734374"</f>
        <v>2170734374</v>
      </c>
      <c r="F2774" s="3" t="s">
        <v>17</v>
      </c>
      <c r="G2774" s="3" t="s">
        <v>18</v>
      </c>
      <c r="H2774" s="3" t="s">
        <v>36</v>
      </c>
      <c r="I2774" s="3" t="s">
        <v>37</v>
      </c>
      <c r="J2774" s="3" t="s">
        <v>38</v>
      </c>
      <c r="K2774" s="3" t="s">
        <v>1966</v>
      </c>
      <c r="L2774" s="4">
        <v>0.42152777777777778</v>
      </c>
      <c r="M2774" s="3" t="s">
        <v>2119</v>
      </c>
      <c r="N2774" s="3" t="s">
        <v>24</v>
      </c>
      <c r="O2774" s="3" t="s">
        <v>25</v>
      </c>
    </row>
    <row r="2775" spans="1:15">
      <c r="A2775" s="3" t="s">
        <v>15</v>
      </c>
      <c r="B2775" s="3" t="str">
        <f>"FES1162743007"</f>
        <v>FES1162743007</v>
      </c>
      <c r="C2775" s="3" t="s">
        <v>1949</v>
      </c>
      <c r="D2775" s="3">
        <v>1</v>
      </c>
      <c r="E2775" s="3" t="str">
        <f>"2170734363"</f>
        <v>2170734363</v>
      </c>
      <c r="F2775" s="3" t="s">
        <v>17</v>
      </c>
      <c r="G2775" s="3" t="s">
        <v>18</v>
      </c>
      <c r="H2775" s="3" t="s">
        <v>18</v>
      </c>
      <c r="I2775" s="3" t="s">
        <v>168</v>
      </c>
      <c r="J2775" s="3" t="s">
        <v>169</v>
      </c>
      <c r="K2775" s="3" t="s">
        <v>1966</v>
      </c>
      <c r="L2775" s="4">
        <v>0.40763888888888888</v>
      </c>
      <c r="M2775" s="3" t="s">
        <v>170</v>
      </c>
      <c r="N2775" s="3" t="s">
        <v>24</v>
      </c>
      <c r="O2775" s="3" t="s">
        <v>25</v>
      </c>
    </row>
    <row r="2776" spans="1:15">
      <c r="A2776" s="3" t="s">
        <v>15</v>
      </c>
      <c r="B2776" s="3" t="str">
        <f>"FES1162742909"</f>
        <v>FES1162742909</v>
      </c>
      <c r="C2776" s="3" t="s">
        <v>1949</v>
      </c>
      <c r="D2776" s="3">
        <v>1</v>
      </c>
      <c r="E2776" s="3" t="str">
        <f>"2170733184"</f>
        <v>2170733184</v>
      </c>
      <c r="F2776" s="3" t="s">
        <v>17</v>
      </c>
      <c r="G2776" s="3" t="s">
        <v>18</v>
      </c>
      <c r="H2776" s="3" t="s">
        <v>18</v>
      </c>
      <c r="I2776" s="3" t="s">
        <v>151</v>
      </c>
      <c r="J2776" s="3" t="s">
        <v>1532</v>
      </c>
      <c r="K2776" s="3" t="s">
        <v>1966</v>
      </c>
      <c r="L2776" s="4">
        <v>0.39305555555555555</v>
      </c>
      <c r="M2776" s="3" t="s">
        <v>247</v>
      </c>
      <c r="N2776" s="3" t="s">
        <v>24</v>
      </c>
      <c r="O2776" s="3" t="s">
        <v>25</v>
      </c>
    </row>
    <row r="2777" spans="1:15">
      <c r="A2777" s="3" t="s">
        <v>15</v>
      </c>
      <c r="B2777" s="3" t="str">
        <f>"FES1162743012"</f>
        <v>FES1162743012</v>
      </c>
      <c r="C2777" s="3" t="s">
        <v>1949</v>
      </c>
      <c r="D2777" s="3">
        <v>1</v>
      </c>
      <c r="E2777" s="3" t="str">
        <f>"2170734368"</f>
        <v>2170734368</v>
      </c>
      <c r="F2777" s="3" t="s">
        <v>17</v>
      </c>
      <c r="G2777" s="3" t="s">
        <v>18</v>
      </c>
      <c r="H2777" s="3" t="s">
        <v>100</v>
      </c>
      <c r="I2777" s="3" t="s">
        <v>117</v>
      </c>
      <c r="J2777" s="3" t="s">
        <v>118</v>
      </c>
      <c r="K2777" s="3" t="s">
        <v>1966</v>
      </c>
      <c r="L2777" s="4">
        <v>0.45624999999999999</v>
      </c>
      <c r="M2777" s="3" t="s">
        <v>119</v>
      </c>
      <c r="N2777" s="3" t="s">
        <v>24</v>
      </c>
      <c r="O2777" s="3" t="s">
        <v>25</v>
      </c>
    </row>
    <row r="2778" spans="1:15">
      <c r="A2778" s="3" t="s">
        <v>15</v>
      </c>
      <c r="B2778" s="3" t="str">
        <f>"FES1162742321"</f>
        <v>FES1162742321</v>
      </c>
      <c r="C2778" s="3" t="s">
        <v>1949</v>
      </c>
      <c r="D2778" s="3">
        <v>1</v>
      </c>
      <c r="E2778" s="3" t="str">
        <f>"2170733834"</f>
        <v>2170733834</v>
      </c>
      <c r="F2778" s="3" t="s">
        <v>17</v>
      </c>
      <c r="G2778" s="3" t="s">
        <v>18</v>
      </c>
      <c r="H2778" s="3" t="s">
        <v>66</v>
      </c>
      <c r="I2778" s="3" t="s">
        <v>67</v>
      </c>
      <c r="J2778" s="3" t="s">
        <v>278</v>
      </c>
      <c r="K2778" s="3" t="s">
        <v>1966</v>
      </c>
      <c r="L2778" s="4">
        <v>0.41597222222222219</v>
      </c>
      <c r="M2778" s="3" t="s">
        <v>1019</v>
      </c>
      <c r="N2778" s="3" t="s">
        <v>24</v>
      </c>
      <c r="O2778" s="3" t="s">
        <v>25</v>
      </c>
    </row>
    <row r="2779" spans="1:15">
      <c r="A2779" s="3" t="s">
        <v>15</v>
      </c>
      <c r="B2779" s="3" t="str">
        <f>"FES1162743023"</f>
        <v>FES1162743023</v>
      </c>
      <c r="C2779" s="3" t="s">
        <v>1949</v>
      </c>
      <c r="D2779" s="3">
        <v>1</v>
      </c>
      <c r="E2779" s="3" t="str">
        <f>"2170734380"</f>
        <v>2170734380</v>
      </c>
      <c r="F2779" s="3" t="s">
        <v>17</v>
      </c>
      <c r="G2779" s="3" t="s">
        <v>18</v>
      </c>
      <c r="H2779" s="3" t="s">
        <v>19</v>
      </c>
      <c r="I2779" s="3" t="s">
        <v>20</v>
      </c>
      <c r="J2779" s="3" t="s">
        <v>1141</v>
      </c>
      <c r="K2779" s="3" t="s">
        <v>1966</v>
      </c>
      <c r="L2779" s="4">
        <v>0.31805555555555554</v>
      </c>
      <c r="M2779" s="3" t="s">
        <v>1688</v>
      </c>
      <c r="N2779" s="3" t="s">
        <v>24</v>
      </c>
      <c r="O2779" s="3" t="s">
        <v>25</v>
      </c>
    </row>
    <row r="2780" spans="1:15">
      <c r="A2780" s="3" t="s">
        <v>15</v>
      </c>
      <c r="B2780" s="3" t="str">
        <f>"FES1162743020"</f>
        <v>FES1162743020</v>
      </c>
      <c r="C2780" s="3" t="s">
        <v>1949</v>
      </c>
      <c r="D2780" s="3">
        <v>1</v>
      </c>
      <c r="E2780" s="3" t="str">
        <f>"2170734377"</f>
        <v>2170734377</v>
      </c>
      <c r="F2780" s="3" t="s">
        <v>17</v>
      </c>
      <c r="G2780" s="3" t="s">
        <v>18</v>
      </c>
      <c r="H2780" s="3" t="s">
        <v>19</v>
      </c>
      <c r="I2780" s="3" t="s">
        <v>20</v>
      </c>
      <c r="J2780" s="3" t="s">
        <v>1141</v>
      </c>
      <c r="K2780" s="3" t="s">
        <v>1966</v>
      </c>
      <c r="L2780" s="4">
        <v>0.31944444444444448</v>
      </c>
      <c r="M2780" s="3" t="s">
        <v>1688</v>
      </c>
      <c r="N2780" s="3" t="s">
        <v>24</v>
      </c>
      <c r="O2780" s="3" t="s">
        <v>25</v>
      </c>
    </row>
    <row r="2781" spans="1:15">
      <c r="A2781" s="3" t="s">
        <v>15</v>
      </c>
      <c r="B2781" s="3" t="str">
        <f>"FES1162742988"</f>
        <v>FES1162742988</v>
      </c>
      <c r="C2781" s="3" t="s">
        <v>1949</v>
      </c>
      <c r="D2781" s="3">
        <v>1</v>
      </c>
      <c r="E2781" s="3" t="str">
        <f>"2170734339"</f>
        <v>2170734339</v>
      </c>
      <c r="F2781" s="3" t="s">
        <v>17</v>
      </c>
      <c r="G2781" s="3" t="s">
        <v>18</v>
      </c>
      <c r="H2781" s="3" t="s">
        <v>100</v>
      </c>
      <c r="I2781" s="3" t="s">
        <v>101</v>
      </c>
      <c r="J2781" s="3" t="s">
        <v>125</v>
      </c>
      <c r="K2781" s="3" t="s">
        <v>1966</v>
      </c>
      <c r="L2781" s="4">
        <v>0.28888888888888892</v>
      </c>
      <c r="M2781" s="3" t="s">
        <v>126</v>
      </c>
      <c r="N2781" s="3" t="s">
        <v>24</v>
      </c>
      <c r="O2781" s="3" t="s">
        <v>25</v>
      </c>
    </row>
    <row r="2782" spans="1:15">
      <c r="A2782" s="3" t="s">
        <v>15</v>
      </c>
      <c r="B2782" s="3" t="str">
        <f>"FES1162743025"</f>
        <v>FES1162743025</v>
      </c>
      <c r="C2782" s="3" t="s">
        <v>1949</v>
      </c>
      <c r="D2782" s="3">
        <v>1</v>
      </c>
      <c r="E2782" s="3" t="str">
        <f>"2170734382"</f>
        <v>2170734382</v>
      </c>
      <c r="F2782" s="3" t="s">
        <v>17</v>
      </c>
      <c r="G2782" s="3" t="s">
        <v>18</v>
      </c>
      <c r="H2782" s="3" t="s">
        <v>19</v>
      </c>
      <c r="I2782" s="3" t="s">
        <v>20</v>
      </c>
      <c r="J2782" s="3" t="s">
        <v>1141</v>
      </c>
      <c r="K2782" s="3" t="s">
        <v>1966</v>
      </c>
      <c r="L2782" s="4">
        <v>0.31944444444444448</v>
      </c>
      <c r="M2782" s="3" t="s">
        <v>1688</v>
      </c>
      <c r="N2782" s="3" t="s">
        <v>24</v>
      </c>
      <c r="O2782" s="3" t="s">
        <v>25</v>
      </c>
    </row>
    <row r="2783" spans="1:15">
      <c r="A2783" s="3" t="s">
        <v>15</v>
      </c>
      <c r="B2783" s="3" t="str">
        <f>"FES1162742960"</f>
        <v>FES1162742960</v>
      </c>
      <c r="C2783" s="3" t="s">
        <v>1949</v>
      </c>
      <c r="D2783" s="3">
        <v>1</v>
      </c>
      <c r="E2783" s="3" t="str">
        <f>"2170734301"</f>
        <v>2170734301</v>
      </c>
      <c r="F2783" s="3" t="s">
        <v>17</v>
      </c>
      <c r="G2783" s="3" t="s">
        <v>18</v>
      </c>
      <c r="H2783" s="3" t="s">
        <v>18</v>
      </c>
      <c r="I2783" s="3" t="s">
        <v>151</v>
      </c>
      <c r="J2783" s="3" t="s">
        <v>2127</v>
      </c>
      <c r="K2783" s="3" t="s">
        <v>1966</v>
      </c>
      <c r="L2783" s="4">
        <v>0.37708333333333338</v>
      </c>
      <c r="M2783" s="3" t="s">
        <v>2128</v>
      </c>
      <c r="N2783" s="3" t="s">
        <v>24</v>
      </c>
      <c r="O2783" s="3" t="s">
        <v>25</v>
      </c>
    </row>
    <row r="2784" spans="1:15">
      <c r="A2784" s="3" t="s">
        <v>15</v>
      </c>
      <c r="B2784" s="3" t="str">
        <f>"FES1162743021"</f>
        <v>FES1162743021</v>
      </c>
      <c r="C2784" s="3" t="s">
        <v>1949</v>
      </c>
      <c r="D2784" s="3">
        <v>1</v>
      </c>
      <c r="E2784" s="3" t="str">
        <f>"2170734378"</f>
        <v>2170734378</v>
      </c>
      <c r="F2784" s="3" t="s">
        <v>17</v>
      </c>
      <c r="G2784" s="3" t="s">
        <v>18</v>
      </c>
      <c r="H2784" s="3" t="s">
        <v>19</v>
      </c>
      <c r="I2784" s="3" t="s">
        <v>20</v>
      </c>
      <c r="J2784" s="3" t="s">
        <v>1141</v>
      </c>
      <c r="K2784" s="3" t="s">
        <v>1966</v>
      </c>
      <c r="L2784" s="4">
        <v>0.31944444444444448</v>
      </c>
      <c r="M2784" s="3" t="s">
        <v>1688</v>
      </c>
      <c r="N2784" s="3" t="s">
        <v>24</v>
      </c>
      <c r="O2784" s="3" t="s">
        <v>25</v>
      </c>
    </row>
    <row r="2785" spans="1:15">
      <c r="A2785" s="3" t="s">
        <v>15</v>
      </c>
      <c r="B2785" s="3" t="str">
        <f>"FES1162743004"</f>
        <v>FES1162743004</v>
      </c>
      <c r="C2785" s="3" t="s">
        <v>1949</v>
      </c>
      <c r="D2785" s="3">
        <v>1</v>
      </c>
      <c r="E2785" s="3" t="str">
        <f>"2170734359"</f>
        <v>2170734359</v>
      </c>
      <c r="F2785" s="3" t="s">
        <v>17</v>
      </c>
      <c r="G2785" s="3" t="s">
        <v>18</v>
      </c>
      <c r="H2785" s="3" t="s">
        <v>100</v>
      </c>
      <c r="I2785" s="3" t="s">
        <v>101</v>
      </c>
      <c r="J2785" s="3" t="s">
        <v>125</v>
      </c>
      <c r="K2785" s="3" t="s">
        <v>1966</v>
      </c>
      <c r="L2785" s="4">
        <v>0.28888888888888892</v>
      </c>
      <c r="M2785" s="3" t="s">
        <v>126</v>
      </c>
      <c r="N2785" s="3" t="s">
        <v>24</v>
      </c>
      <c r="O2785" s="3" t="s">
        <v>25</v>
      </c>
    </row>
    <row r="2786" spans="1:15">
      <c r="A2786" s="3" t="s">
        <v>15</v>
      </c>
      <c r="B2786" s="3" t="str">
        <f>"FES1162742982"</f>
        <v>FES1162742982</v>
      </c>
      <c r="C2786" s="3" t="s">
        <v>1949</v>
      </c>
      <c r="D2786" s="3">
        <v>1</v>
      </c>
      <c r="E2786" s="3" t="str">
        <f>"2170734330"</f>
        <v>2170734330</v>
      </c>
      <c r="F2786" s="3" t="s">
        <v>17</v>
      </c>
      <c r="G2786" s="3" t="s">
        <v>18</v>
      </c>
      <c r="H2786" s="3" t="s">
        <v>19</v>
      </c>
      <c r="I2786" s="3" t="s">
        <v>20</v>
      </c>
      <c r="J2786" s="3" t="s">
        <v>1422</v>
      </c>
      <c r="K2786" s="3" t="s">
        <v>1966</v>
      </c>
      <c r="L2786" s="4">
        <v>0.34027777777777773</v>
      </c>
      <c r="M2786" s="3" t="s">
        <v>2129</v>
      </c>
      <c r="N2786" s="3" t="s">
        <v>24</v>
      </c>
      <c r="O2786" s="3" t="s">
        <v>25</v>
      </c>
    </row>
    <row r="2787" spans="1:15">
      <c r="A2787" s="3" t="s">
        <v>15</v>
      </c>
      <c r="B2787" s="3" t="str">
        <f>"FES1162743030"</f>
        <v>FES1162743030</v>
      </c>
      <c r="C2787" s="3" t="s">
        <v>1949</v>
      </c>
      <c r="D2787" s="3">
        <v>1</v>
      </c>
      <c r="E2787" s="3" t="str">
        <f>"2170734386"</f>
        <v>2170734386</v>
      </c>
      <c r="F2787" s="3" t="s">
        <v>17</v>
      </c>
      <c r="G2787" s="3" t="s">
        <v>18</v>
      </c>
      <c r="H2787" s="3" t="s">
        <v>18</v>
      </c>
      <c r="I2787" s="3" t="s">
        <v>33</v>
      </c>
      <c r="J2787" s="3" t="s">
        <v>34</v>
      </c>
      <c r="K2787" s="3" t="s">
        <v>1966</v>
      </c>
      <c r="L2787" s="4">
        <v>0.33888888888888885</v>
      </c>
      <c r="M2787" s="3" t="s">
        <v>2130</v>
      </c>
      <c r="N2787" s="3" t="s">
        <v>24</v>
      </c>
      <c r="O2787" s="3" t="s">
        <v>25</v>
      </c>
    </row>
    <row r="2788" spans="1:15">
      <c r="A2788" s="3" t="s">
        <v>15</v>
      </c>
      <c r="B2788" s="3" t="str">
        <f>"FES1162743027"</f>
        <v>FES1162743027</v>
      </c>
      <c r="C2788" s="3" t="s">
        <v>1949</v>
      </c>
      <c r="D2788" s="3">
        <v>1</v>
      </c>
      <c r="E2788" s="3" t="str">
        <f>"2170728774"</f>
        <v>2170728774</v>
      </c>
      <c r="F2788" s="3" t="s">
        <v>17</v>
      </c>
      <c r="G2788" s="3" t="s">
        <v>18</v>
      </c>
      <c r="H2788" s="3" t="s">
        <v>18</v>
      </c>
      <c r="I2788" s="3" t="s">
        <v>163</v>
      </c>
      <c r="J2788" s="3" t="s">
        <v>164</v>
      </c>
      <c r="K2788" s="3" t="s">
        <v>1966</v>
      </c>
      <c r="L2788" s="4">
        <v>0.33333333333333331</v>
      </c>
      <c r="M2788" s="3" t="s">
        <v>2103</v>
      </c>
      <c r="N2788" s="3" t="s">
        <v>24</v>
      </c>
      <c r="O2788" s="3" t="s">
        <v>25</v>
      </c>
    </row>
    <row r="2789" spans="1:15">
      <c r="A2789" s="3" t="s">
        <v>15</v>
      </c>
      <c r="B2789" s="3" t="str">
        <f>"FES1162742972"</f>
        <v>FES1162742972</v>
      </c>
      <c r="C2789" s="3" t="s">
        <v>1949</v>
      </c>
      <c r="D2789" s="3">
        <v>1</v>
      </c>
      <c r="E2789" s="3" t="str">
        <f>"2170734316"</f>
        <v>2170734316</v>
      </c>
      <c r="F2789" s="3" t="s">
        <v>17</v>
      </c>
      <c r="G2789" s="3" t="s">
        <v>18</v>
      </c>
      <c r="H2789" s="3" t="s">
        <v>19</v>
      </c>
      <c r="I2789" s="3" t="s">
        <v>86</v>
      </c>
      <c r="J2789" s="3" t="s">
        <v>106</v>
      </c>
      <c r="K2789" s="3" t="s">
        <v>1966</v>
      </c>
      <c r="L2789" s="4">
        <v>0.33333333333333331</v>
      </c>
      <c r="M2789" s="3" t="s">
        <v>2131</v>
      </c>
      <c r="N2789" s="3" t="s">
        <v>24</v>
      </c>
      <c r="O2789" s="3" t="s">
        <v>25</v>
      </c>
    </row>
    <row r="2790" spans="1:15">
      <c r="A2790" s="3" t="s">
        <v>15</v>
      </c>
      <c r="B2790" s="3" t="str">
        <f>"FES1162743000"</f>
        <v>FES1162743000</v>
      </c>
      <c r="C2790" s="3" t="s">
        <v>1949</v>
      </c>
      <c r="D2790" s="3">
        <v>1</v>
      </c>
      <c r="E2790" s="3" t="str">
        <f>"2170734355"</f>
        <v>2170734355</v>
      </c>
      <c r="F2790" s="3" t="s">
        <v>17</v>
      </c>
      <c r="G2790" s="3" t="s">
        <v>18</v>
      </c>
      <c r="H2790" s="3" t="s">
        <v>100</v>
      </c>
      <c r="I2790" s="3" t="s">
        <v>101</v>
      </c>
      <c r="J2790" s="3" t="s">
        <v>125</v>
      </c>
      <c r="K2790" s="3" t="s">
        <v>1966</v>
      </c>
      <c r="L2790" s="4">
        <v>0.28888888888888892</v>
      </c>
      <c r="M2790" s="3" t="s">
        <v>126</v>
      </c>
      <c r="N2790" s="3" t="s">
        <v>24</v>
      </c>
      <c r="O2790" s="3" t="s">
        <v>25</v>
      </c>
    </row>
    <row r="2791" spans="1:15">
      <c r="A2791" s="3" t="s">
        <v>15</v>
      </c>
      <c r="B2791" s="3" t="str">
        <f>"FES1162742995"</f>
        <v>FES1162742995</v>
      </c>
      <c r="C2791" s="3" t="s">
        <v>1949</v>
      </c>
      <c r="D2791" s="3">
        <v>1</v>
      </c>
      <c r="E2791" s="3" t="str">
        <f>"2170734348"</f>
        <v>2170734348</v>
      </c>
      <c r="F2791" s="3" t="s">
        <v>17</v>
      </c>
      <c r="G2791" s="3" t="s">
        <v>18</v>
      </c>
      <c r="H2791" s="3" t="s">
        <v>100</v>
      </c>
      <c r="I2791" s="3" t="s">
        <v>101</v>
      </c>
      <c r="J2791" s="3" t="s">
        <v>1466</v>
      </c>
      <c r="K2791" s="3" t="s">
        <v>1966</v>
      </c>
      <c r="L2791" s="4">
        <v>0.34513888888888888</v>
      </c>
      <c r="M2791" s="3" t="s">
        <v>2132</v>
      </c>
      <c r="N2791" s="3" t="s">
        <v>24</v>
      </c>
      <c r="O2791" s="3" t="s">
        <v>25</v>
      </c>
    </row>
    <row r="2792" spans="1:15">
      <c r="A2792" s="3" t="s">
        <v>15</v>
      </c>
      <c r="B2792" s="3" t="str">
        <f>"FES1162743024"</f>
        <v>FES1162743024</v>
      </c>
      <c r="C2792" s="3" t="s">
        <v>1949</v>
      </c>
      <c r="D2792" s="3">
        <v>1</v>
      </c>
      <c r="E2792" s="3" t="str">
        <f>"2170734381"</f>
        <v>2170734381</v>
      </c>
      <c r="F2792" s="3" t="s">
        <v>17</v>
      </c>
      <c r="G2792" s="3" t="s">
        <v>18</v>
      </c>
      <c r="H2792" s="3" t="s">
        <v>46</v>
      </c>
      <c r="I2792" s="3" t="s">
        <v>47</v>
      </c>
      <c r="J2792" s="3" t="s">
        <v>48</v>
      </c>
      <c r="K2792" s="3" t="s">
        <v>1966</v>
      </c>
      <c r="L2792" s="4">
        <v>0.43333333333333335</v>
      </c>
      <c r="M2792" s="3" t="s">
        <v>1508</v>
      </c>
      <c r="N2792" s="3" t="s">
        <v>24</v>
      </c>
      <c r="O2792" s="3" t="s">
        <v>25</v>
      </c>
    </row>
    <row r="2793" spans="1:15">
      <c r="A2793" s="3" t="s">
        <v>15</v>
      </c>
      <c r="B2793" s="3" t="str">
        <f>"FES1162743014"</f>
        <v>FES1162743014</v>
      </c>
      <c r="C2793" s="3" t="s">
        <v>1949</v>
      </c>
      <c r="D2793" s="3">
        <v>1</v>
      </c>
      <c r="E2793" s="3" t="str">
        <f>"217073734371"</f>
        <v>217073734371</v>
      </c>
      <c r="F2793" s="3" t="s">
        <v>17</v>
      </c>
      <c r="G2793" s="3" t="s">
        <v>18</v>
      </c>
      <c r="H2793" s="3" t="s">
        <v>100</v>
      </c>
      <c r="I2793" s="3" t="s">
        <v>101</v>
      </c>
      <c r="J2793" s="3" t="s">
        <v>265</v>
      </c>
      <c r="K2793" s="3" t="s">
        <v>1966</v>
      </c>
      <c r="L2793" s="4">
        <v>0.31527777777777777</v>
      </c>
      <c r="M2793" s="3" t="s">
        <v>266</v>
      </c>
      <c r="N2793" s="3" t="s">
        <v>24</v>
      </c>
      <c r="O2793" s="3" t="s">
        <v>25</v>
      </c>
    </row>
    <row r="2794" spans="1:15">
      <c r="A2794" s="3" t="s">
        <v>15</v>
      </c>
      <c r="B2794" s="3" t="str">
        <f>"FES1162743010"</f>
        <v>FES1162743010</v>
      </c>
      <c r="C2794" s="3" t="s">
        <v>1949</v>
      </c>
      <c r="D2794" s="3">
        <v>1</v>
      </c>
      <c r="E2794" s="3" t="str">
        <f>"2170734366"</f>
        <v>2170734366</v>
      </c>
      <c r="F2794" s="3" t="s">
        <v>17</v>
      </c>
      <c r="G2794" s="3" t="s">
        <v>18</v>
      </c>
      <c r="H2794" s="3" t="s">
        <v>19</v>
      </c>
      <c r="I2794" s="3" t="s">
        <v>277</v>
      </c>
      <c r="J2794" s="3" t="s">
        <v>278</v>
      </c>
      <c r="K2794" s="3" t="s">
        <v>1966</v>
      </c>
      <c r="L2794" s="4">
        <v>0.4284722222222222</v>
      </c>
      <c r="M2794" s="3" t="s">
        <v>2133</v>
      </c>
      <c r="N2794" s="3" t="s">
        <v>24</v>
      </c>
      <c r="O2794" s="3" t="s">
        <v>25</v>
      </c>
    </row>
    <row r="2795" spans="1:15">
      <c r="A2795" s="3" t="s">
        <v>15</v>
      </c>
      <c r="B2795" s="3" t="str">
        <f>"FES1162743031"</f>
        <v>FES1162743031</v>
      </c>
      <c r="C2795" s="3" t="s">
        <v>1949</v>
      </c>
      <c r="D2795" s="3">
        <v>1</v>
      </c>
      <c r="E2795" s="3" t="str">
        <f>"2170734387"</f>
        <v>2170734387</v>
      </c>
      <c r="F2795" s="3" t="s">
        <v>17</v>
      </c>
      <c r="G2795" s="3" t="s">
        <v>18</v>
      </c>
      <c r="H2795" s="3" t="s">
        <v>215</v>
      </c>
      <c r="I2795" s="3" t="s">
        <v>216</v>
      </c>
      <c r="J2795" s="3" t="s">
        <v>217</v>
      </c>
      <c r="K2795" s="3" t="s">
        <v>1966</v>
      </c>
      <c r="L2795" s="4">
        <v>0.41666666666666669</v>
      </c>
      <c r="M2795" s="3" t="s">
        <v>217</v>
      </c>
      <c r="N2795" s="3" t="s">
        <v>24</v>
      </c>
      <c r="O2795" s="3" t="s">
        <v>25</v>
      </c>
    </row>
    <row r="2796" spans="1:15">
      <c r="A2796" s="3" t="s">
        <v>15</v>
      </c>
      <c r="B2796" s="3" t="str">
        <f>"FES1162743008"</f>
        <v>FES1162743008</v>
      </c>
      <c r="C2796" s="3" t="s">
        <v>1949</v>
      </c>
      <c r="D2796" s="3">
        <v>1</v>
      </c>
      <c r="E2796" s="3" t="str">
        <f>"2170734365"</f>
        <v>2170734365</v>
      </c>
      <c r="F2796" s="3" t="s">
        <v>17</v>
      </c>
      <c r="G2796" s="3" t="s">
        <v>18</v>
      </c>
      <c r="H2796" s="3" t="s">
        <v>886</v>
      </c>
      <c r="I2796" s="3" t="s">
        <v>887</v>
      </c>
      <c r="J2796" s="3" t="s">
        <v>888</v>
      </c>
      <c r="K2796" s="3" t="s">
        <v>1966</v>
      </c>
      <c r="L2796" s="4">
        <v>0.41666666666666669</v>
      </c>
      <c r="M2796" s="3" t="s">
        <v>2134</v>
      </c>
      <c r="N2796" s="3" t="s">
        <v>24</v>
      </c>
      <c r="O2796" s="3" t="s">
        <v>25</v>
      </c>
    </row>
    <row r="2797" spans="1:15">
      <c r="A2797" s="3" t="s">
        <v>15</v>
      </c>
      <c r="B2797" s="3" t="str">
        <f>"FES1162742966"</f>
        <v>FES1162742966</v>
      </c>
      <c r="C2797" s="3" t="s">
        <v>1949</v>
      </c>
      <c r="D2797" s="3">
        <v>1</v>
      </c>
      <c r="E2797" s="3" t="str">
        <f>"2170734308"</f>
        <v>2170734308</v>
      </c>
      <c r="F2797" s="3" t="s">
        <v>17</v>
      </c>
      <c r="G2797" s="3" t="s">
        <v>18</v>
      </c>
      <c r="H2797" s="3" t="s">
        <v>19</v>
      </c>
      <c r="I2797" s="3" t="s">
        <v>445</v>
      </c>
      <c r="J2797" s="3" t="s">
        <v>446</v>
      </c>
      <c r="K2797" s="3" t="s">
        <v>1966</v>
      </c>
      <c r="L2797" s="4">
        <v>0.50416666666666665</v>
      </c>
      <c r="M2797" s="3" t="s">
        <v>666</v>
      </c>
      <c r="N2797" s="3" t="s">
        <v>24</v>
      </c>
      <c r="O2797" s="3" t="s">
        <v>25</v>
      </c>
    </row>
    <row r="2798" spans="1:15">
      <c r="A2798" s="3" t="s">
        <v>15</v>
      </c>
      <c r="B2798" s="3" t="str">
        <f>"FES1162743003"</f>
        <v>FES1162743003</v>
      </c>
      <c r="C2798" s="3" t="s">
        <v>1949</v>
      </c>
      <c r="D2798" s="3">
        <v>1</v>
      </c>
      <c r="E2798" s="3" t="str">
        <f>"2170734358"</f>
        <v>2170734358</v>
      </c>
      <c r="F2798" s="3" t="s">
        <v>17</v>
      </c>
      <c r="G2798" s="3" t="s">
        <v>18</v>
      </c>
      <c r="H2798" s="3" t="s">
        <v>19</v>
      </c>
      <c r="I2798" s="3" t="s">
        <v>825</v>
      </c>
      <c r="J2798" s="3" t="s">
        <v>1270</v>
      </c>
      <c r="K2798" s="3" t="s">
        <v>1966</v>
      </c>
      <c r="L2798" s="4">
        <v>0.68263888888888891</v>
      </c>
      <c r="M2798" s="3" t="s">
        <v>200</v>
      </c>
      <c r="N2798" s="3" t="s">
        <v>24</v>
      </c>
      <c r="O2798" s="3" t="s">
        <v>25</v>
      </c>
    </row>
    <row r="2799" spans="1:15">
      <c r="A2799" s="3" t="s">
        <v>15</v>
      </c>
      <c r="B2799" s="3" t="str">
        <f>"FES1162742957"</f>
        <v>FES1162742957</v>
      </c>
      <c r="C2799" s="3" t="s">
        <v>1949</v>
      </c>
      <c r="D2799" s="3">
        <v>1</v>
      </c>
      <c r="E2799" s="3" t="str">
        <f>"2170734297"</f>
        <v>2170734297</v>
      </c>
      <c r="F2799" s="3" t="s">
        <v>17</v>
      </c>
      <c r="G2799" s="3" t="s">
        <v>18</v>
      </c>
      <c r="H2799" s="3" t="s">
        <v>18</v>
      </c>
      <c r="I2799" s="3" t="s">
        <v>29</v>
      </c>
      <c r="J2799" s="3" t="s">
        <v>307</v>
      </c>
      <c r="K2799" s="3" t="s">
        <v>1966</v>
      </c>
      <c r="L2799" s="4">
        <v>0.33888888888888885</v>
      </c>
      <c r="M2799" s="3" t="s">
        <v>308</v>
      </c>
      <c r="N2799" s="3" t="s">
        <v>24</v>
      </c>
      <c r="O2799" s="3" t="s">
        <v>25</v>
      </c>
    </row>
    <row r="2800" spans="1:15">
      <c r="A2800" s="3" t="s">
        <v>15</v>
      </c>
      <c r="B2800" s="3" t="str">
        <f>"FES1162743040"</f>
        <v>FES1162743040</v>
      </c>
      <c r="C2800" s="3" t="s">
        <v>1949</v>
      </c>
      <c r="D2800" s="3">
        <v>1</v>
      </c>
      <c r="E2800" s="3" t="str">
        <f>"2170734400"</f>
        <v>2170734400</v>
      </c>
      <c r="F2800" s="3" t="s">
        <v>17</v>
      </c>
      <c r="G2800" s="3" t="s">
        <v>18</v>
      </c>
      <c r="H2800" s="3" t="s">
        <v>19</v>
      </c>
      <c r="I2800" s="3" t="s">
        <v>51</v>
      </c>
      <c r="J2800" s="3" t="s">
        <v>52</v>
      </c>
      <c r="K2800" s="3" t="s">
        <v>1966</v>
      </c>
      <c r="L2800" s="4">
        <v>0.52152777777777781</v>
      </c>
      <c r="M2800" s="3" t="s">
        <v>2135</v>
      </c>
      <c r="N2800" s="3" t="s">
        <v>24</v>
      </c>
      <c r="O2800" s="3" t="s">
        <v>25</v>
      </c>
    </row>
    <row r="2801" spans="1:15">
      <c r="A2801" s="3" t="s">
        <v>15</v>
      </c>
      <c r="B2801" s="3" t="str">
        <f>"FES1162743028"</f>
        <v>FES1162743028</v>
      </c>
      <c r="C2801" s="3" t="s">
        <v>1949</v>
      </c>
      <c r="D2801" s="3">
        <v>1</v>
      </c>
      <c r="E2801" s="3" t="str">
        <f>"2170734328"</f>
        <v>2170734328</v>
      </c>
      <c r="F2801" s="3" t="s">
        <v>17</v>
      </c>
      <c r="G2801" s="3" t="s">
        <v>18</v>
      </c>
      <c r="H2801" s="3" t="s">
        <v>100</v>
      </c>
      <c r="I2801" s="3" t="s">
        <v>117</v>
      </c>
      <c r="J2801" s="3" t="s">
        <v>2136</v>
      </c>
      <c r="K2801" s="3" t="s">
        <v>1966</v>
      </c>
      <c r="L2801" s="4">
        <v>0.43194444444444446</v>
      </c>
      <c r="M2801" s="3" t="s">
        <v>2137</v>
      </c>
      <c r="N2801" s="3" t="s">
        <v>24</v>
      </c>
      <c r="O2801" s="3" t="s">
        <v>25</v>
      </c>
    </row>
    <row r="2802" spans="1:15">
      <c r="A2802" s="3" t="s">
        <v>15</v>
      </c>
      <c r="B2802" s="3" t="str">
        <f>"FES1162742981"</f>
        <v>FES1162742981</v>
      </c>
      <c r="C2802" s="3" t="s">
        <v>1949</v>
      </c>
      <c r="D2802" s="3">
        <v>1</v>
      </c>
      <c r="E2802" s="3" t="str">
        <f>"2170734326"</f>
        <v>2170734326</v>
      </c>
      <c r="F2802" s="3" t="s">
        <v>17</v>
      </c>
      <c r="G2802" s="3" t="s">
        <v>18</v>
      </c>
      <c r="H2802" s="3" t="s">
        <v>18</v>
      </c>
      <c r="I2802" s="3" t="s">
        <v>171</v>
      </c>
      <c r="J2802" s="3" t="s">
        <v>2138</v>
      </c>
      <c r="K2802" s="3" t="s">
        <v>1966</v>
      </c>
      <c r="L2802" s="4">
        <v>0.33749999999999997</v>
      </c>
      <c r="M2802" s="3" t="s">
        <v>2139</v>
      </c>
      <c r="N2802" s="3" t="s">
        <v>24</v>
      </c>
      <c r="O2802" s="3" t="s">
        <v>25</v>
      </c>
    </row>
    <row r="2803" spans="1:15">
      <c r="A2803" s="3" t="s">
        <v>15</v>
      </c>
      <c r="B2803" s="3" t="str">
        <f>"FES1162743059"</f>
        <v>FES1162743059</v>
      </c>
      <c r="C2803" s="3" t="s">
        <v>1949</v>
      </c>
      <c r="D2803" s="3">
        <v>1</v>
      </c>
      <c r="E2803" s="3" t="str">
        <f>"2170734426"</f>
        <v>2170734426</v>
      </c>
      <c r="F2803" s="3" t="s">
        <v>17</v>
      </c>
      <c r="G2803" s="3" t="s">
        <v>18</v>
      </c>
      <c r="H2803" s="3" t="s">
        <v>18</v>
      </c>
      <c r="I2803" s="3" t="s">
        <v>29</v>
      </c>
      <c r="J2803" s="3" t="s">
        <v>487</v>
      </c>
      <c r="K2803" s="3" t="s">
        <v>1966</v>
      </c>
      <c r="L2803" s="4">
        <v>0.41319444444444442</v>
      </c>
      <c r="M2803" s="3" t="s">
        <v>2140</v>
      </c>
      <c r="N2803" s="3" t="s">
        <v>24</v>
      </c>
      <c r="O2803" s="3" t="s">
        <v>25</v>
      </c>
    </row>
    <row r="2804" spans="1:15">
      <c r="A2804" s="3" t="s">
        <v>15</v>
      </c>
      <c r="B2804" s="3" t="str">
        <f>"FES1162742994"</f>
        <v>FES1162742994</v>
      </c>
      <c r="C2804" s="3" t="s">
        <v>1949</v>
      </c>
      <c r="D2804" s="3">
        <v>1</v>
      </c>
      <c r="E2804" s="3" t="str">
        <f>"2170734347"</f>
        <v>2170734347</v>
      </c>
      <c r="F2804" s="3" t="s">
        <v>17</v>
      </c>
      <c r="G2804" s="3" t="s">
        <v>18</v>
      </c>
      <c r="H2804" s="3" t="s">
        <v>18</v>
      </c>
      <c r="I2804" s="3" t="s">
        <v>171</v>
      </c>
      <c r="J2804" s="3" t="s">
        <v>2138</v>
      </c>
      <c r="K2804" s="3" t="s">
        <v>1966</v>
      </c>
      <c r="L2804" s="4">
        <v>0.33333333333333331</v>
      </c>
      <c r="M2804" s="3" t="s">
        <v>2139</v>
      </c>
      <c r="N2804" s="3" t="s">
        <v>24</v>
      </c>
      <c r="O2804" s="3" t="s">
        <v>25</v>
      </c>
    </row>
    <row r="2805" spans="1:15">
      <c r="A2805" s="3" t="s">
        <v>15</v>
      </c>
      <c r="B2805" s="3" t="str">
        <f>"FES1162743016"</f>
        <v>FES1162743016</v>
      </c>
      <c r="C2805" s="3" t="s">
        <v>1949</v>
      </c>
      <c r="D2805" s="3">
        <v>1</v>
      </c>
      <c r="E2805" s="3" t="str">
        <f>"217073437"</f>
        <v>217073437</v>
      </c>
      <c r="F2805" s="3" t="s">
        <v>17</v>
      </c>
      <c r="G2805" s="3" t="s">
        <v>18</v>
      </c>
      <c r="H2805" s="3" t="s">
        <v>100</v>
      </c>
      <c r="I2805" s="3" t="s">
        <v>101</v>
      </c>
      <c r="J2805" s="3" t="s">
        <v>1796</v>
      </c>
      <c r="K2805" s="3" t="s">
        <v>1966</v>
      </c>
      <c r="L2805" s="4">
        <v>0.33958333333333335</v>
      </c>
      <c r="M2805" s="3" t="s">
        <v>1795</v>
      </c>
      <c r="N2805" s="3" t="s">
        <v>24</v>
      </c>
      <c r="O2805" s="3" t="s">
        <v>25</v>
      </c>
    </row>
    <row r="2806" spans="1:15">
      <c r="A2806" s="3" t="s">
        <v>15</v>
      </c>
      <c r="B2806" s="3" t="str">
        <f>"FES1162743026"</f>
        <v>FES1162743026</v>
      </c>
      <c r="C2806" s="3" t="s">
        <v>1949</v>
      </c>
      <c r="D2806" s="3">
        <v>1</v>
      </c>
      <c r="E2806" s="3" t="str">
        <f>"2170734383"</f>
        <v>2170734383</v>
      </c>
      <c r="F2806" s="3" t="s">
        <v>17</v>
      </c>
      <c r="G2806" s="3" t="s">
        <v>18</v>
      </c>
      <c r="H2806" s="3" t="s">
        <v>100</v>
      </c>
      <c r="I2806" s="3" t="s">
        <v>101</v>
      </c>
      <c r="J2806" s="3" t="s">
        <v>1466</v>
      </c>
      <c r="K2806" s="3" t="s">
        <v>1966</v>
      </c>
      <c r="L2806" s="4">
        <v>0.3444444444444445</v>
      </c>
      <c r="M2806" s="3" t="s">
        <v>2141</v>
      </c>
      <c r="N2806" s="3" t="s">
        <v>24</v>
      </c>
      <c r="O2806" s="3" t="s">
        <v>25</v>
      </c>
    </row>
    <row r="2807" spans="1:15">
      <c r="A2807" s="3" t="s">
        <v>15</v>
      </c>
      <c r="B2807" s="3" t="str">
        <f>"FES1162742961"</f>
        <v>FES1162742961</v>
      </c>
      <c r="C2807" s="3" t="s">
        <v>1949</v>
      </c>
      <c r="D2807" s="3">
        <v>1</v>
      </c>
      <c r="E2807" s="3" t="str">
        <f>"2170734302"</f>
        <v>2170734302</v>
      </c>
      <c r="F2807" s="3" t="s">
        <v>17</v>
      </c>
      <c r="G2807" s="3" t="s">
        <v>18</v>
      </c>
      <c r="H2807" s="3" t="s">
        <v>18</v>
      </c>
      <c r="I2807" s="3" t="s">
        <v>180</v>
      </c>
      <c r="J2807" s="3" t="s">
        <v>1613</v>
      </c>
      <c r="K2807" s="3" t="s">
        <v>1966</v>
      </c>
      <c r="L2807" s="4">
        <v>0.4375</v>
      </c>
      <c r="M2807" s="3" t="s">
        <v>1614</v>
      </c>
      <c r="N2807" s="3" t="s">
        <v>24</v>
      </c>
      <c r="O2807" s="3" t="s">
        <v>25</v>
      </c>
    </row>
    <row r="2808" spans="1:15">
      <c r="A2808" s="3" t="s">
        <v>15</v>
      </c>
      <c r="B2808" s="3" t="str">
        <f>"FES1162742956"</f>
        <v>FES1162742956</v>
      </c>
      <c r="C2808" s="3" t="s">
        <v>1949</v>
      </c>
      <c r="D2808" s="3">
        <v>1</v>
      </c>
      <c r="E2808" s="3" t="str">
        <f>"2170734294"</f>
        <v>2170734294</v>
      </c>
      <c r="F2808" s="3" t="s">
        <v>17</v>
      </c>
      <c r="G2808" s="3" t="s">
        <v>18</v>
      </c>
      <c r="H2808" s="3" t="s">
        <v>18</v>
      </c>
      <c r="I2808" s="3" t="s">
        <v>171</v>
      </c>
      <c r="J2808" s="3" t="s">
        <v>311</v>
      </c>
      <c r="K2808" s="3" t="s">
        <v>1966</v>
      </c>
      <c r="L2808" s="4">
        <v>0.26666666666666666</v>
      </c>
      <c r="M2808" s="3" t="s">
        <v>28</v>
      </c>
      <c r="N2808" s="3" t="s">
        <v>24</v>
      </c>
      <c r="O2808" s="3" t="s">
        <v>25</v>
      </c>
    </row>
    <row r="2809" spans="1:15">
      <c r="A2809" s="3" t="s">
        <v>15</v>
      </c>
      <c r="B2809" s="3" t="str">
        <f>"FES1162743019"</f>
        <v>FES1162743019</v>
      </c>
      <c r="C2809" s="3" t="s">
        <v>1949</v>
      </c>
      <c r="D2809" s="3">
        <v>1</v>
      </c>
      <c r="E2809" s="3" t="str">
        <f>"2170734376"</f>
        <v>2170734376</v>
      </c>
      <c r="F2809" s="3" t="s">
        <v>17</v>
      </c>
      <c r="G2809" s="3" t="s">
        <v>18</v>
      </c>
      <c r="H2809" s="3" t="s">
        <v>100</v>
      </c>
      <c r="I2809" s="3" t="s">
        <v>117</v>
      </c>
      <c r="J2809" s="3" t="s">
        <v>2142</v>
      </c>
      <c r="K2809" s="3" t="s">
        <v>1966</v>
      </c>
      <c r="L2809" s="4">
        <v>0.52013888888888882</v>
      </c>
      <c r="M2809" s="3" t="s">
        <v>2143</v>
      </c>
      <c r="N2809" s="3" t="s">
        <v>24</v>
      </c>
      <c r="O2809" s="3" t="s">
        <v>25</v>
      </c>
    </row>
    <row r="2810" spans="1:15">
      <c r="A2810" s="3" t="s">
        <v>15</v>
      </c>
      <c r="B2810" s="3" t="str">
        <f>"FES1162742986"</f>
        <v>FES1162742986</v>
      </c>
      <c r="C2810" s="3" t="s">
        <v>1949</v>
      </c>
      <c r="D2810" s="3">
        <v>1</v>
      </c>
      <c r="E2810" s="3" t="str">
        <f>"2170734335"</f>
        <v>2170734335</v>
      </c>
      <c r="F2810" s="3" t="s">
        <v>17</v>
      </c>
      <c r="G2810" s="3" t="s">
        <v>18</v>
      </c>
      <c r="H2810" s="3" t="s">
        <v>19</v>
      </c>
      <c r="I2810" s="3" t="s">
        <v>51</v>
      </c>
      <c r="J2810" s="3" t="s">
        <v>89</v>
      </c>
      <c r="K2810" s="3" t="s">
        <v>1966</v>
      </c>
      <c r="L2810" s="4">
        <v>0.33680555555555558</v>
      </c>
      <c r="M2810" s="3" t="s">
        <v>419</v>
      </c>
      <c r="N2810" s="3" t="s">
        <v>24</v>
      </c>
      <c r="O2810" s="3" t="s">
        <v>25</v>
      </c>
    </row>
    <row r="2811" spans="1:15">
      <c r="A2811" s="3" t="s">
        <v>15</v>
      </c>
      <c r="B2811" s="3" t="str">
        <f>"FES1162742963"</f>
        <v>FES1162742963</v>
      </c>
      <c r="C2811" s="3" t="s">
        <v>1949</v>
      </c>
      <c r="D2811" s="3">
        <v>1</v>
      </c>
      <c r="E2811" s="3" t="str">
        <f>"2170734303"</f>
        <v>2170734303</v>
      </c>
      <c r="F2811" s="3" t="s">
        <v>17</v>
      </c>
      <c r="G2811" s="3" t="s">
        <v>18</v>
      </c>
      <c r="H2811" s="3" t="s">
        <v>18</v>
      </c>
      <c r="I2811" s="3" t="s">
        <v>171</v>
      </c>
      <c r="J2811" s="3" t="s">
        <v>884</v>
      </c>
      <c r="K2811" s="3" t="s">
        <v>1966</v>
      </c>
      <c r="L2811" s="4">
        <v>0.27361111111111108</v>
      </c>
      <c r="M2811" s="3" t="s">
        <v>232</v>
      </c>
      <c r="N2811" s="3" t="s">
        <v>24</v>
      </c>
      <c r="O2811" s="3" t="s">
        <v>25</v>
      </c>
    </row>
    <row r="2812" spans="1:15">
      <c r="A2812" s="3" t="s">
        <v>15</v>
      </c>
      <c r="B2812" s="3" t="str">
        <f>"FES1162743053"</f>
        <v>FES1162743053</v>
      </c>
      <c r="C2812" s="3" t="s">
        <v>1949</v>
      </c>
      <c r="D2812" s="3">
        <v>1</v>
      </c>
      <c r="E2812" s="3" t="str">
        <f>"2170734420"</f>
        <v>2170734420</v>
      </c>
      <c r="F2812" s="3" t="s">
        <v>17</v>
      </c>
      <c r="G2812" s="3" t="s">
        <v>18</v>
      </c>
      <c r="H2812" s="3" t="s">
        <v>36</v>
      </c>
      <c r="I2812" s="3" t="s">
        <v>330</v>
      </c>
      <c r="J2812" s="3" t="s">
        <v>331</v>
      </c>
      <c r="K2812" s="3" t="s">
        <v>1966</v>
      </c>
      <c r="L2812" s="4">
        <v>0.40972222222222227</v>
      </c>
      <c r="M2812" s="3" t="s">
        <v>332</v>
      </c>
      <c r="N2812" s="3" t="s">
        <v>24</v>
      </c>
      <c r="O2812" s="3" t="s">
        <v>25</v>
      </c>
    </row>
    <row r="2813" spans="1:15">
      <c r="A2813" s="3" t="s">
        <v>15</v>
      </c>
      <c r="B2813" s="3" t="str">
        <f>"FES1162743044"</f>
        <v>FES1162743044</v>
      </c>
      <c r="C2813" s="3" t="s">
        <v>1949</v>
      </c>
      <c r="D2813" s="3">
        <v>2</v>
      </c>
      <c r="E2813" s="3" t="str">
        <f>"2170734419"</f>
        <v>2170734419</v>
      </c>
      <c r="F2813" s="3" t="s">
        <v>17</v>
      </c>
      <c r="G2813" s="3" t="s">
        <v>18</v>
      </c>
      <c r="H2813" s="3" t="s">
        <v>36</v>
      </c>
      <c r="I2813" s="3" t="s">
        <v>37</v>
      </c>
      <c r="J2813" s="3" t="s">
        <v>943</v>
      </c>
      <c r="K2813" s="3" t="s">
        <v>1966</v>
      </c>
      <c r="L2813" s="4">
        <v>0.5625</v>
      </c>
      <c r="M2813" s="3" t="s">
        <v>626</v>
      </c>
      <c r="N2813" s="3" t="s">
        <v>24</v>
      </c>
      <c r="O2813" s="3" t="s">
        <v>25</v>
      </c>
    </row>
    <row r="2814" spans="1:15">
      <c r="A2814" s="3" t="s">
        <v>15</v>
      </c>
      <c r="B2814" s="3" t="str">
        <f>"FES1162743047"</f>
        <v>FES1162743047</v>
      </c>
      <c r="C2814" s="3" t="s">
        <v>1949</v>
      </c>
      <c r="D2814" s="3">
        <v>1</v>
      </c>
      <c r="E2814" s="3" t="str">
        <f>"2170734409"</f>
        <v>2170734409</v>
      </c>
      <c r="F2814" s="3" t="s">
        <v>17</v>
      </c>
      <c r="G2814" s="3" t="s">
        <v>18</v>
      </c>
      <c r="H2814" s="3" t="s">
        <v>19</v>
      </c>
      <c r="I2814" s="3" t="s">
        <v>236</v>
      </c>
      <c r="J2814" s="3" t="s">
        <v>633</v>
      </c>
      <c r="K2814" s="3" t="s">
        <v>1966</v>
      </c>
      <c r="L2814" s="4">
        <v>0.39305555555555555</v>
      </c>
      <c r="M2814" s="3" t="s">
        <v>634</v>
      </c>
      <c r="N2814" s="3" t="s">
        <v>24</v>
      </c>
      <c r="O2814" s="3" t="s">
        <v>25</v>
      </c>
    </row>
    <row r="2815" spans="1:15">
      <c r="A2815" s="3" t="s">
        <v>15</v>
      </c>
      <c r="B2815" s="3" t="str">
        <f>"FES1162743029"</f>
        <v>FES1162743029</v>
      </c>
      <c r="C2815" s="3" t="s">
        <v>1949</v>
      </c>
      <c r="D2815" s="3">
        <v>1</v>
      </c>
      <c r="E2815" s="3" t="str">
        <f>"2170734384"</f>
        <v>2170734384</v>
      </c>
      <c r="F2815" s="3" t="s">
        <v>17</v>
      </c>
      <c r="G2815" s="3" t="s">
        <v>18</v>
      </c>
      <c r="H2815" s="3" t="s">
        <v>19</v>
      </c>
      <c r="I2815" s="3" t="s">
        <v>20</v>
      </c>
      <c r="J2815" s="3" t="s">
        <v>1638</v>
      </c>
      <c r="K2815" s="3" t="s">
        <v>1966</v>
      </c>
      <c r="L2815" s="4">
        <v>0.3972222222222222</v>
      </c>
      <c r="M2815" s="3" t="s">
        <v>2144</v>
      </c>
      <c r="N2815" s="3" t="s">
        <v>24</v>
      </c>
      <c r="O2815" s="3" t="s">
        <v>25</v>
      </c>
    </row>
    <row r="2816" spans="1:15">
      <c r="A2816" s="3" t="s">
        <v>15</v>
      </c>
      <c r="B2816" s="3" t="str">
        <f>"FES1162743061"</f>
        <v>FES1162743061</v>
      </c>
      <c r="C2816" s="3" t="s">
        <v>1949</v>
      </c>
      <c r="D2816" s="3">
        <v>1</v>
      </c>
      <c r="E2816" s="3" t="str">
        <f>"2170734429"</f>
        <v>2170734429</v>
      </c>
      <c r="F2816" s="3" t="s">
        <v>17</v>
      </c>
      <c r="G2816" s="3" t="s">
        <v>18</v>
      </c>
      <c r="H2816" s="3" t="s">
        <v>36</v>
      </c>
      <c r="I2816" s="3" t="s">
        <v>37</v>
      </c>
      <c r="J2816" s="3" t="s">
        <v>275</v>
      </c>
      <c r="K2816" s="3" t="s">
        <v>1966</v>
      </c>
      <c r="L2816" s="4">
        <v>0.39583333333333331</v>
      </c>
      <c r="M2816" s="3" t="s">
        <v>1136</v>
      </c>
      <c r="N2816" s="3" t="s">
        <v>24</v>
      </c>
      <c r="O2816" s="3" t="s">
        <v>25</v>
      </c>
    </row>
    <row r="2817" spans="1:15">
      <c r="A2817" s="3" t="s">
        <v>15</v>
      </c>
      <c r="B2817" s="3" t="str">
        <f>"FES11262743034"</f>
        <v>FES11262743034</v>
      </c>
      <c r="C2817" s="3" t="s">
        <v>1949</v>
      </c>
      <c r="D2817" s="3">
        <v>1</v>
      </c>
      <c r="E2817" s="3" t="str">
        <f>"2170734390"</f>
        <v>2170734390</v>
      </c>
      <c r="F2817" s="3" t="s">
        <v>17</v>
      </c>
      <c r="G2817" s="3" t="s">
        <v>18</v>
      </c>
      <c r="H2817" s="3" t="s">
        <v>100</v>
      </c>
      <c r="I2817" s="3" t="s">
        <v>117</v>
      </c>
      <c r="J2817" s="3" t="s">
        <v>118</v>
      </c>
      <c r="K2817" s="3" t="s">
        <v>1966</v>
      </c>
      <c r="L2817" s="4">
        <v>0.45624999999999999</v>
      </c>
      <c r="M2817" s="3" t="s">
        <v>119</v>
      </c>
      <c r="N2817" s="3" t="s">
        <v>24</v>
      </c>
      <c r="O2817" s="3" t="s">
        <v>25</v>
      </c>
    </row>
    <row r="2818" spans="1:15">
      <c r="A2818" s="3" t="s">
        <v>15</v>
      </c>
      <c r="B2818" s="3" t="str">
        <f>"FES1162743001"</f>
        <v>FES1162743001</v>
      </c>
      <c r="C2818" s="3" t="s">
        <v>1949</v>
      </c>
      <c r="D2818" s="3">
        <v>1</v>
      </c>
      <c r="E2818" s="3" t="str">
        <f>"2170734357"</f>
        <v>2170734357</v>
      </c>
      <c r="F2818" s="3" t="s">
        <v>17</v>
      </c>
      <c r="G2818" s="3" t="s">
        <v>18</v>
      </c>
      <c r="H2818" s="3" t="s">
        <v>18</v>
      </c>
      <c r="I2818" s="3" t="s">
        <v>171</v>
      </c>
      <c r="J2818" s="3" t="s">
        <v>2138</v>
      </c>
      <c r="K2818" s="3" t="s">
        <v>1966</v>
      </c>
      <c r="L2818" s="4">
        <v>0.33333333333333331</v>
      </c>
      <c r="M2818" s="3" t="s">
        <v>2139</v>
      </c>
      <c r="N2818" s="3" t="s">
        <v>24</v>
      </c>
      <c r="O2818" s="3" t="s">
        <v>25</v>
      </c>
    </row>
    <row r="2819" spans="1:15">
      <c r="A2819" s="3" t="s">
        <v>15</v>
      </c>
      <c r="B2819" s="3" t="str">
        <f>"FES1162743036"</f>
        <v>FES1162743036</v>
      </c>
      <c r="C2819" s="3" t="s">
        <v>1949</v>
      </c>
      <c r="D2819" s="3">
        <v>1</v>
      </c>
      <c r="E2819" s="3" t="str">
        <f>"2170734392"</f>
        <v>2170734392</v>
      </c>
      <c r="F2819" s="3" t="s">
        <v>17</v>
      </c>
      <c r="G2819" s="3" t="s">
        <v>18</v>
      </c>
      <c r="H2819" s="3" t="s">
        <v>46</v>
      </c>
      <c r="I2819" s="3" t="s">
        <v>47</v>
      </c>
      <c r="J2819" s="3" t="s">
        <v>133</v>
      </c>
      <c r="K2819" s="3" t="s">
        <v>1966</v>
      </c>
      <c r="L2819" s="4">
        <v>0.43402777777777773</v>
      </c>
      <c r="M2819" s="3" t="s">
        <v>2145</v>
      </c>
      <c r="N2819" s="3" t="s">
        <v>24</v>
      </c>
      <c r="O2819" s="3" t="s">
        <v>25</v>
      </c>
    </row>
    <row r="2820" spans="1:15">
      <c r="A2820" s="3" t="s">
        <v>15</v>
      </c>
      <c r="B2820" s="3" t="str">
        <f>"FES1162743041"</f>
        <v>FES1162743041</v>
      </c>
      <c r="C2820" s="3" t="s">
        <v>1949</v>
      </c>
      <c r="D2820" s="3">
        <v>1</v>
      </c>
      <c r="E2820" s="3" t="str">
        <f>"2170734402"</f>
        <v>2170734402</v>
      </c>
      <c r="F2820" s="3" t="s">
        <v>17</v>
      </c>
      <c r="G2820" s="3" t="s">
        <v>18</v>
      </c>
      <c r="H2820" s="3" t="s">
        <v>36</v>
      </c>
      <c r="I2820" s="3" t="s">
        <v>330</v>
      </c>
      <c r="J2820" s="3" t="s">
        <v>331</v>
      </c>
      <c r="K2820" s="3" t="s">
        <v>1966</v>
      </c>
      <c r="L2820" s="4">
        <v>0.40972222222222227</v>
      </c>
      <c r="M2820" s="3" t="s">
        <v>332</v>
      </c>
      <c r="N2820" s="3" t="s">
        <v>24</v>
      </c>
      <c r="O2820" s="3" t="s">
        <v>25</v>
      </c>
    </row>
    <row r="2821" spans="1:15">
      <c r="A2821" s="3" t="s">
        <v>15</v>
      </c>
      <c r="B2821" s="3" t="str">
        <f>"FES1162743051"</f>
        <v>FES1162743051</v>
      </c>
      <c r="C2821" s="3" t="s">
        <v>1949</v>
      </c>
      <c r="D2821" s="3">
        <v>1</v>
      </c>
      <c r="E2821" s="3" t="str">
        <f>"2170734414"</f>
        <v>2170734414</v>
      </c>
      <c r="F2821" s="3" t="s">
        <v>17</v>
      </c>
      <c r="G2821" s="3" t="s">
        <v>18</v>
      </c>
      <c r="H2821" s="3" t="s">
        <v>46</v>
      </c>
      <c r="I2821" s="3" t="s">
        <v>47</v>
      </c>
      <c r="J2821" s="3" t="s">
        <v>351</v>
      </c>
      <c r="K2821" s="3" t="s">
        <v>1966</v>
      </c>
      <c r="L2821" s="4">
        <v>0.37013888888888885</v>
      </c>
      <c r="M2821" s="3" t="s">
        <v>2011</v>
      </c>
      <c r="N2821" s="3" t="s">
        <v>24</v>
      </c>
      <c r="O2821" s="3" t="s">
        <v>25</v>
      </c>
    </row>
    <row r="2822" spans="1:15">
      <c r="A2822" s="3" t="s">
        <v>15</v>
      </c>
      <c r="B2822" s="3" t="str">
        <f>"FES1162743038"</f>
        <v>FES1162743038</v>
      </c>
      <c r="C2822" s="3" t="s">
        <v>1949</v>
      </c>
      <c r="D2822" s="3">
        <v>1</v>
      </c>
      <c r="E2822" s="3" t="str">
        <f>"2170734397"</f>
        <v>2170734397</v>
      </c>
      <c r="F2822" s="3" t="s">
        <v>17</v>
      </c>
      <c r="G2822" s="3" t="s">
        <v>18</v>
      </c>
      <c r="H2822" s="3" t="s">
        <v>46</v>
      </c>
      <c r="I2822" s="3" t="s">
        <v>47</v>
      </c>
      <c r="J2822" s="3" t="s">
        <v>62</v>
      </c>
      <c r="K2822" s="3" t="s">
        <v>1966</v>
      </c>
      <c r="L2822" s="4">
        <v>0.41805555555555557</v>
      </c>
      <c r="M2822" s="3" t="s">
        <v>2146</v>
      </c>
      <c r="N2822" s="3" t="s">
        <v>24</v>
      </c>
      <c r="O2822" s="3" t="s">
        <v>25</v>
      </c>
    </row>
    <row r="2823" spans="1:15">
      <c r="A2823" s="3" t="s">
        <v>15</v>
      </c>
      <c r="B2823" s="3" t="str">
        <f>"FES1162743054"</f>
        <v>FES1162743054</v>
      </c>
      <c r="C2823" s="3" t="s">
        <v>1949</v>
      </c>
      <c r="D2823" s="3">
        <v>1</v>
      </c>
      <c r="E2823" s="3" t="str">
        <f>"2170734422"</f>
        <v>2170734422</v>
      </c>
      <c r="F2823" s="3" t="s">
        <v>17</v>
      </c>
      <c r="G2823" s="3" t="s">
        <v>18</v>
      </c>
      <c r="H2823" s="3" t="s">
        <v>36</v>
      </c>
      <c r="I2823" s="3" t="s">
        <v>37</v>
      </c>
      <c r="J2823" s="3" t="s">
        <v>378</v>
      </c>
      <c r="K2823" s="3" t="s">
        <v>1966</v>
      </c>
      <c r="L2823" s="4">
        <v>0.42083333333333334</v>
      </c>
      <c r="M2823" s="3" t="s">
        <v>2147</v>
      </c>
      <c r="N2823" s="3" t="s">
        <v>24</v>
      </c>
      <c r="O2823" s="3" t="s">
        <v>25</v>
      </c>
    </row>
    <row r="2824" spans="1:15">
      <c r="A2824" s="3" t="s">
        <v>15</v>
      </c>
      <c r="B2824" s="3" t="str">
        <f>"FES1162743033"</f>
        <v>FES1162743033</v>
      </c>
      <c r="C2824" s="3" t="s">
        <v>1949</v>
      </c>
      <c r="D2824" s="3">
        <v>1</v>
      </c>
      <c r="E2824" s="3" t="str">
        <f>"2170734389"</f>
        <v>2170734389</v>
      </c>
      <c r="F2824" s="3" t="s">
        <v>17</v>
      </c>
      <c r="G2824" s="3" t="s">
        <v>18</v>
      </c>
      <c r="H2824" s="3" t="s">
        <v>100</v>
      </c>
      <c r="I2824" s="3" t="s">
        <v>155</v>
      </c>
      <c r="J2824" s="3" t="s">
        <v>489</v>
      </c>
      <c r="K2824" s="3" t="s">
        <v>1966</v>
      </c>
      <c r="L2824" s="4">
        <v>0.44513888888888892</v>
      </c>
      <c r="M2824" s="3" t="s">
        <v>490</v>
      </c>
      <c r="N2824" s="3" t="s">
        <v>24</v>
      </c>
      <c r="O2824" s="3" t="s">
        <v>25</v>
      </c>
    </row>
    <row r="2825" spans="1:15">
      <c r="A2825" s="3" t="s">
        <v>15</v>
      </c>
      <c r="B2825" s="3" t="str">
        <f>"FES1162743022"</f>
        <v>FES1162743022</v>
      </c>
      <c r="C2825" s="3" t="s">
        <v>1949</v>
      </c>
      <c r="D2825" s="3">
        <v>1</v>
      </c>
      <c r="E2825" s="3" t="str">
        <f>"21707345379"</f>
        <v>21707345379</v>
      </c>
      <c r="F2825" s="3" t="s">
        <v>17</v>
      </c>
      <c r="G2825" s="3" t="s">
        <v>18</v>
      </c>
      <c r="H2825" s="3" t="s">
        <v>18</v>
      </c>
      <c r="I2825" s="3" t="s">
        <v>171</v>
      </c>
      <c r="J2825" s="3" t="s">
        <v>189</v>
      </c>
      <c r="K2825" s="3" t="s">
        <v>1966</v>
      </c>
      <c r="L2825" s="4">
        <v>0.32222222222222224</v>
      </c>
      <c r="M2825" s="3" t="s">
        <v>868</v>
      </c>
      <c r="N2825" s="3" t="s">
        <v>24</v>
      </c>
      <c r="O2825" s="3" t="s">
        <v>25</v>
      </c>
    </row>
    <row r="2826" spans="1:15">
      <c r="A2826" s="3" t="s">
        <v>15</v>
      </c>
      <c r="B2826" s="3" t="str">
        <f>"FES1162743039"</f>
        <v>FES1162743039</v>
      </c>
      <c r="C2826" s="3" t="s">
        <v>1949</v>
      </c>
      <c r="D2826" s="3">
        <v>1</v>
      </c>
      <c r="E2826" s="3" t="str">
        <f>"2170734398"</f>
        <v>2170734398</v>
      </c>
      <c r="F2826" s="3" t="s">
        <v>17</v>
      </c>
      <c r="G2826" s="3" t="s">
        <v>18</v>
      </c>
      <c r="H2826" s="3" t="s">
        <v>100</v>
      </c>
      <c r="I2826" s="3" t="s">
        <v>101</v>
      </c>
      <c r="J2826" s="3" t="s">
        <v>131</v>
      </c>
      <c r="K2826" s="3" t="s">
        <v>1966</v>
      </c>
      <c r="L2826" s="4">
        <v>0.34722222222222227</v>
      </c>
      <c r="M2826" s="3" t="s">
        <v>132</v>
      </c>
      <c r="N2826" s="3" t="s">
        <v>24</v>
      </c>
      <c r="O2826" s="3" t="s">
        <v>25</v>
      </c>
    </row>
    <row r="2827" spans="1:15">
      <c r="A2827" s="3" t="s">
        <v>15</v>
      </c>
      <c r="B2827" s="3" t="str">
        <f>"FES1162743058"</f>
        <v>FES1162743058</v>
      </c>
      <c r="C2827" s="3" t="s">
        <v>1949</v>
      </c>
      <c r="D2827" s="3">
        <v>1</v>
      </c>
      <c r="E2827" s="3" t="str">
        <f>"2170729752"</f>
        <v>2170729752</v>
      </c>
      <c r="F2827" s="3" t="s">
        <v>17</v>
      </c>
      <c r="G2827" s="3" t="s">
        <v>18</v>
      </c>
      <c r="H2827" s="3" t="s">
        <v>18</v>
      </c>
      <c r="I2827" s="3" t="s">
        <v>206</v>
      </c>
      <c r="J2827" s="3" t="s">
        <v>207</v>
      </c>
      <c r="K2827" s="3" t="s">
        <v>1966</v>
      </c>
      <c r="L2827" s="4">
        <v>0.4375</v>
      </c>
      <c r="M2827" s="3" t="s">
        <v>711</v>
      </c>
      <c r="N2827" s="3" t="s">
        <v>24</v>
      </c>
      <c r="O2827" s="3" t="s">
        <v>25</v>
      </c>
    </row>
    <row r="2828" spans="1:15">
      <c r="A2828" s="3" t="s">
        <v>15</v>
      </c>
      <c r="B2828" s="3" t="str">
        <f>"FES1162743072"</f>
        <v>FES1162743072</v>
      </c>
      <c r="C2828" s="3" t="s">
        <v>1949</v>
      </c>
      <c r="D2828" s="3">
        <v>1</v>
      </c>
      <c r="E2828" s="3" t="str">
        <f>"2170734445"</f>
        <v>2170734445</v>
      </c>
      <c r="F2828" s="3" t="s">
        <v>17</v>
      </c>
      <c r="G2828" s="3" t="s">
        <v>18</v>
      </c>
      <c r="H2828" s="3" t="s">
        <v>100</v>
      </c>
      <c r="I2828" s="3" t="s">
        <v>101</v>
      </c>
      <c r="J2828" s="3" t="s">
        <v>2148</v>
      </c>
      <c r="K2828" s="3" t="s">
        <v>1966</v>
      </c>
      <c r="L2828" s="4">
        <v>0.40416666666666662</v>
      </c>
      <c r="M2828" s="3" t="s">
        <v>2149</v>
      </c>
      <c r="N2828" s="3" t="s">
        <v>24</v>
      </c>
      <c r="O2828" s="3" t="s">
        <v>25</v>
      </c>
    </row>
    <row r="2829" spans="1:15">
      <c r="A2829" s="3" t="s">
        <v>15</v>
      </c>
      <c r="B2829" s="3" t="str">
        <f>"FES1162743069"</f>
        <v>FES1162743069</v>
      </c>
      <c r="C2829" s="3" t="s">
        <v>1949</v>
      </c>
      <c r="D2829" s="3">
        <v>1</v>
      </c>
      <c r="E2829" s="3" t="str">
        <f>"2170734440"</f>
        <v>2170734440</v>
      </c>
      <c r="F2829" s="3" t="s">
        <v>17</v>
      </c>
      <c r="G2829" s="3" t="s">
        <v>18</v>
      </c>
      <c r="H2829" s="3" t="s">
        <v>66</v>
      </c>
      <c r="I2829" s="3" t="s">
        <v>67</v>
      </c>
      <c r="J2829" s="3" t="s">
        <v>368</v>
      </c>
      <c r="K2829" s="3" t="s">
        <v>1966</v>
      </c>
      <c r="L2829" s="4">
        <v>0.4236111111111111</v>
      </c>
      <c r="M2829" s="3" t="s">
        <v>1324</v>
      </c>
      <c r="N2829" s="3" t="s">
        <v>24</v>
      </c>
      <c r="O2829" s="3" t="s">
        <v>25</v>
      </c>
    </row>
    <row r="2830" spans="1:15">
      <c r="A2830" s="3" t="s">
        <v>15</v>
      </c>
      <c r="B2830" s="3" t="str">
        <f>"FES1162743050"</f>
        <v>FES1162743050</v>
      </c>
      <c r="C2830" s="3" t="s">
        <v>1949</v>
      </c>
      <c r="D2830" s="3">
        <v>1</v>
      </c>
      <c r="E2830" s="3" t="str">
        <f>"2170734413"</f>
        <v>2170734413</v>
      </c>
      <c r="F2830" s="3" t="s">
        <v>17</v>
      </c>
      <c r="G2830" s="3" t="s">
        <v>18</v>
      </c>
      <c r="H2830" s="3" t="s">
        <v>18</v>
      </c>
      <c r="I2830" s="3" t="s">
        <v>151</v>
      </c>
      <c r="J2830" s="3" t="s">
        <v>770</v>
      </c>
      <c r="K2830" s="3" t="s">
        <v>1966</v>
      </c>
      <c r="L2830" s="4">
        <v>0.40347222222222223</v>
      </c>
      <c r="M2830" s="3" t="s">
        <v>2150</v>
      </c>
      <c r="N2830" s="3" t="s">
        <v>24</v>
      </c>
      <c r="O2830" s="3" t="s">
        <v>25</v>
      </c>
    </row>
    <row r="2831" spans="1:15">
      <c r="A2831" s="3" t="s">
        <v>15</v>
      </c>
      <c r="B2831" s="3" t="str">
        <f>"FES1162743048"</f>
        <v>FES1162743048</v>
      </c>
      <c r="C2831" s="3" t="s">
        <v>1949</v>
      </c>
      <c r="D2831" s="3">
        <v>1</v>
      </c>
      <c r="E2831" s="3" t="str">
        <f>"21707344112"</f>
        <v>21707344112</v>
      </c>
      <c r="F2831" s="3" t="s">
        <v>17</v>
      </c>
      <c r="G2831" s="3" t="s">
        <v>18</v>
      </c>
      <c r="H2831" s="3" t="s">
        <v>18</v>
      </c>
      <c r="I2831" s="3" t="s">
        <v>29</v>
      </c>
      <c r="J2831" s="3" t="s">
        <v>2151</v>
      </c>
      <c r="K2831" s="3" t="s">
        <v>1966</v>
      </c>
      <c r="L2831" s="4">
        <v>0.35416666666666669</v>
      </c>
      <c r="M2831" s="3" t="s">
        <v>221</v>
      </c>
      <c r="N2831" s="3" t="s">
        <v>24</v>
      </c>
      <c r="O2831" s="3" t="s">
        <v>25</v>
      </c>
    </row>
    <row r="2832" spans="1:15">
      <c r="A2832" s="3" t="s">
        <v>15</v>
      </c>
      <c r="B2832" s="3" t="str">
        <f>"FES1162743073"</f>
        <v>FES1162743073</v>
      </c>
      <c r="C2832" s="3" t="s">
        <v>1949</v>
      </c>
      <c r="D2832" s="3">
        <v>1</v>
      </c>
      <c r="E2832" s="3" t="str">
        <f>"2170734405"</f>
        <v>2170734405</v>
      </c>
      <c r="F2832" s="3" t="s">
        <v>17</v>
      </c>
      <c r="G2832" s="3" t="s">
        <v>18</v>
      </c>
      <c r="H2832" s="3" t="s">
        <v>18</v>
      </c>
      <c r="I2832" s="3" t="s">
        <v>29</v>
      </c>
      <c r="J2832" s="3" t="s">
        <v>1406</v>
      </c>
      <c r="K2832" s="3" t="s">
        <v>1966</v>
      </c>
      <c r="L2832" s="4">
        <v>0.33333333333333331</v>
      </c>
      <c r="M2832" s="3" t="s">
        <v>2152</v>
      </c>
      <c r="N2832" s="3" t="s">
        <v>24</v>
      </c>
      <c r="O2832" s="3" t="s">
        <v>25</v>
      </c>
    </row>
    <row r="2833" spans="1:15">
      <c r="A2833" s="3" t="s">
        <v>15</v>
      </c>
      <c r="B2833" s="3" t="str">
        <f>"FES1162743068"</f>
        <v>FES1162743068</v>
      </c>
      <c r="C2833" s="3" t="s">
        <v>1949</v>
      </c>
      <c r="D2833" s="3">
        <v>1</v>
      </c>
      <c r="E2833" s="3" t="str">
        <f>"2170734437"</f>
        <v>2170734437</v>
      </c>
      <c r="F2833" s="3" t="s">
        <v>17</v>
      </c>
      <c r="G2833" s="3" t="s">
        <v>18</v>
      </c>
      <c r="H2833" s="3" t="s">
        <v>18</v>
      </c>
      <c r="I2833" s="3" t="s">
        <v>33</v>
      </c>
      <c r="J2833" s="3" t="s">
        <v>34</v>
      </c>
      <c r="K2833" s="3" t="s">
        <v>1966</v>
      </c>
      <c r="L2833" s="4">
        <v>0.33958333333333335</v>
      </c>
      <c r="M2833" s="3" t="s">
        <v>1995</v>
      </c>
      <c r="N2833" s="3" t="s">
        <v>24</v>
      </c>
      <c r="O2833" s="3" t="s">
        <v>25</v>
      </c>
    </row>
    <row r="2834" spans="1:15">
      <c r="A2834" s="3" t="s">
        <v>15</v>
      </c>
      <c r="B2834" s="3" t="str">
        <f>"FES1162743042"</f>
        <v>FES1162743042</v>
      </c>
      <c r="C2834" s="3" t="s">
        <v>1949</v>
      </c>
      <c r="D2834" s="3">
        <v>1</v>
      </c>
      <c r="E2834" s="3" t="str">
        <f>"2170734404"</f>
        <v>2170734404</v>
      </c>
      <c r="F2834" s="3" t="s">
        <v>17</v>
      </c>
      <c r="G2834" s="3" t="s">
        <v>18</v>
      </c>
      <c r="H2834" s="3" t="s">
        <v>18</v>
      </c>
      <c r="I2834" s="3" t="s">
        <v>29</v>
      </c>
      <c r="J2834" s="3" t="s">
        <v>1406</v>
      </c>
      <c r="K2834" s="3" t="s">
        <v>1966</v>
      </c>
      <c r="L2834" s="4">
        <v>0.33333333333333331</v>
      </c>
      <c r="M2834" s="3" t="s">
        <v>2152</v>
      </c>
      <c r="N2834" s="3" t="s">
        <v>24</v>
      </c>
      <c r="O2834" s="3" t="s">
        <v>25</v>
      </c>
    </row>
    <row r="2835" spans="1:15">
      <c r="A2835" s="3" t="s">
        <v>15</v>
      </c>
      <c r="B2835" s="3" t="str">
        <f>"FES1162743070"</f>
        <v>FES1162743070</v>
      </c>
      <c r="C2835" s="3" t="s">
        <v>1949</v>
      </c>
      <c r="D2835" s="3">
        <v>1</v>
      </c>
      <c r="E2835" s="3" t="str">
        <f>"2170734441"</f>
        <v>2170734441</v>
      </c>
      <c r="F2835" s="3" t="s">
        <v>17</v>
      </c>
      <c r="G2835" s="3" t="s">
        <v>18</v>
      </c>
      <c r="H2835" s="3" t="s">
        <v>18</v>
      </c>
      <c r="I2835" s="3" t="s">
        <v>171</v>
      </c>
      <c r="J2835" s="3" t="s">
        <v>311</v>
      </c>
      <c r="K2835" s="3" t="s">
        <v>1966</v>
      </c>
      <c r="L2835" s="4">
        <v>0.26666666666666666</v>
      </c>
      <c r="M2835" s="3" t="s">
        <v>28</v>
      </c>
      <c r="N2835" s="3" t="s">
        <v>24</v>
      </c>
      <c r="O2835" s="3" t="s">
        <v>25</v>
      </c>
    </row>
    <row r="2836" spans="1:15">
      <c r="A2836" s="3" t="s">
        <v>15</v>
      </c>
      <c r="B2836" s="3" t="str">
        <f>"FES1162743063"</f>
        <v>FES1162743063</v>
      </c>
      <c r="C2836" s="3" t="s">
        <v>1949</v>
      </c>
      <c r="D2836" s="3">
        <v>1</v>
      </c>
      <c r="E2836" s="3" t="str">
        <f>"2170734431"</f>
        <v>2170734431</v>
      </c>
      <c r="F2836" s="3" t="s">
        <v>17</v>
      </c>
      <c r="G2836" s="3" t="s">
        <v>18</v>
      </c>
      <c r="H2836" s="3" t="s">
        <v>18</v>
      </c>
      <c r="I2836" s="3" t="s">
        <v>171</v>
      </c>
      <c r="J2836" s="3" t="s">
        <v>311</v>
      </c>
      <c r="K2836" s="3" t="s">
        <v>1966</v>
      </c>
      <c r="L2836" s="4">
        <v>0.26666666666666666</v>
      </c>
      <c r="M2836" s="3" t="s">
        <v>28</v>
      </c>
      <c r="N2836" s="3" t="s">
        <v>24</v>
      </c>
      <c r="O2836" s="3" t="s">
        <v>25</v>
      </c>
    </row>
    <row r="2837" spans="1:15">
      <c r="A2837" s="3" t="s">
        <v>15</v>
      </c>
      <c r="B2837" s="3" t="str">
        <f>"FES1162743071"</f>
        <v>FES1162743071</v>
      </c>
      <c r="C2837" s="3" t="s">
        <v>1949</v>
      </c>
      <c r="D2837" s="3">
        <v>1</v>
      </c>
      <c r="E2837" s="3" t="str">
        <f>"217073442"</f>
        <v>217073442</v>
      </c>
      <c r="F2837" s="3" t="s">
        <v>17</v>
      </c>
      <c r="G2837" s="3" t="s">
        <v>18</v>
      </c>
      <c r="H2837" s="3" t="s">
        <v>19</v>
      </c>
      <c r="I2837" s="3" t="s">
        <v>20</v>
      </c>
      <c r="J2837" s="3" t="s">
        <v>21</v>
      </c>
      <c r="K2837" s="3" t="s">
        <v>1966</v>
      </c>
      <c r="L2837" s="4">
        <v>0.33333333333333331</v>
      </c>
      <c r="M2837" s="3" t="s">
        <v>843</v>
      </c>
      <c r="N2837" s="3" t="s">
        <v>24</v>
      </c>
      <c r="O2837" s="3" t="s">
        <v>25</v>
      </c>
    </row>
    <row r="2838" spans="1:15">
      <c r="A2838" s="3" t="s">
        <v>15</v>
      </c>
      <c r="B2838" s="3" t="str">
        <f>"009938801358"</f>
        <v>009938801358</v>
      </c>
      <c r="C2838" s="3" t="s">
        <v>1949</v>
      </c>
      <c r="D2838" s="3">
        <v>1</v>
      </c>
      <c r="E2838" s="3" t="str">
        <f>"NO REF."</f>
        <v>NO REF.</v>
      </c>
      <c r="F2838" s="3" t="s">
        <v>528</v>
      </c>
      <c r="G2838" s="3" t="s">
        <v>2069</v>
      </c>
      <c r="H2838" s="3" t="s">
        <v>948</v>
      </c>
      <c r="I2838" s="3" t="s">
        <v>29</v>
      </c>
      <c r="J2838" s="3" t="s">
        <v>529</v>
      </c>
      <c r="K2838" s="3" t="s">
        <v>1966</v>
      </c>
      <c r="L2838" s="4">
        <v>0.34097222222222223</v>
      </c>
      <c r="M2838" s="3" t="s">
        <v>31</v>
      </c>
      <c r="N2838" s="3" t="s">
        <v>24</v>
      </c>
      <c r="O2838" s="3" t="s">
        <v>25</v>
      </c>
    </row>
    <row r="2839" spans="1:15">
      <c r="A2839" s="3" t="s">
        <v>15</v>
      </c>
      <c r="B2839" s="3" t="str">
        <f>"009939176473"</f>
        <v>009939176473</v>
      </c>
      <c r="C2839" s="3" t="s">
        <v>1949</v>
      </c>
      <c r="D2839" s="3">
        <v>1</v>
      </c>
      <c r="E2839" s="3" t="str">
        <f>""</f>
        <v/>
      </c>
      <c r="F2839" s="3" t="s">
        <v>17</v>
      </c>
      <c r="G2839" s="3" t="s">
        <v>36</v>
      </c>
      <c r="H2839" s="3" t="s">
        <v>18</v>
      </c>
      <c r="I2839" s="3" t="s">
        <v>29</v>
      </c>
      <c r="J2839" s="3" t="s">
        <v>529</v>
      </c>
      <c r="K2839" s="3" t="s">
        <v>1966</v>
      </c>
      <c r="L2839" s="4">
        <v>0.34097222222222223</v>
      </c>
      <c r="M2839" s="3" t="s">
        <v>31</v>
      </c>
      <c r="N2839" s="3" t="s">
        <v>24</v>
      </c>
      <c r="O2839" s="3" t="s">
        <v>25</v>
      </c>
    </row>
    <row r="2840" spans="1:15">
      <c r="A2840" s="3" t="s">
        <v>15</v>
      </c>
      <c r="B2840" s="3" t="str">
        <f>"009939732029"</f>
        <v>009939732029</v>
      </c>
      <c r="C2840" s="3" t="s">
        <v>1949</v>
      </c>
      <c r="D2840" s="3">
        <v>1</v>
      </c>
      <c r="E2840" s="3" t="str">
        <f>""</f>
        <v/>
      </c>
      <c r="F2840" s="3" t="s">
        <v>17</v>
      </c>
      <c r="G2840" s="3" t="s">
        <v>19</v>
      </c>
      <c r="H2840" s="3" t="s">
        <v>19</v>
      </c>
      <c r="I2840" s="3" t="s">
        <v>51</v>
      </c>
      <c r="J2840" s="3" t="s">
        <v>448</v>
      </c>
      <c r="K2840" s="3" t="s">
        <v>1966</v>
      </c>
      <c r="L2840" s="4">
        <v>0.32916666666666666</v>
      </c>
      <c r="M2840" s="3" t="s">
        <v>2153</v>
      </c>
      <c r="N2840" s="3" t="s">
        <v>24</v>
      </c>
      <c r="O2840" s="3" t="s">
        <v>25</v>
      </c>
    </row>
    <row r="2841" spans="1:15">
      <c r="A2841" s="3" t="s">
        <v>15</v>
      </c>
      <c r="B2841" s="3" t="str">
        <f>"R009935712350"</f>
        <v>R009935712350</v>
      </c>
      <c r="C2841" s="3" t="s">
        <v>1949</v>
      </c>
      <c r="D2841" s="3">
        <v>1</v>
      </c>
      <c r="E2841" s="3" t="str">
        <f>"1162733871"</f>
        <v>1162733871</v>
      </c>
      <c r="F2841" s="3" t="s">
        <v>17</v>
      </c>
      <c r="G2841" s="3" t="s">
        <v>18</v>
      </c>
      <c r="H2841" s="3" t="s">
        <v>18</v>
      </c>
      <c r="I2841" s="3" t="s">
        <v>29</v>
      </c>
      <c r="J2841" s="3" t="s">
        <v>30</v>
      </c>
      <c r="K2841" s="3" t="s">
        <v>1966</v>
      </c>
      <c r="L2841" s="4">
        <v>0.34097222222222223</v>
      </c>
      <c r="M2841" s="3" t="s">
        <v>31</v>
      </c>
      <c r="N2841" s="3" t="s">
        <v>24</v>
      </c>
      <c r="O2841" s="3" t="s">
        <v>1824</v>
      </c>
    </row>
    <row r="2842" spans="1:15">
      <c r="A2842" s="3" t="s">
        <v>15</v>
      </c>
      <c r="B2842" s="3" t="str">
        <f>"RFES1162742053"</f>
        <v>RFES1162742053</v>
      </c>
      <c r="C2842" s="3" t="s">
        <v>1949</v>
      </c>
      <c r="D2842" s="3">
        <v>1</v>
      </c>
      <c r="E2842" s="3" t="str">
        <f>"2170733572"</f>
        <v>2170733572</v>
      </c>
      <c r="F2842" s="3" t="s">
        <v>17</v>
      </c>
      <c r="G2842" s="3" t="s">
        <v>18</v>
      </c>
      <c r="H2842" s="3" t="s">
        <v>18</v>
      </c>
      <c r="I2842" s="3" t="s">
        <v>29</v>
      </c>
      <c r="J2842" s="3" t="s">
        <v>30</v>
      </c>
      <c r="K2842" s="3" t="s">
        <v>1966</v>
      </c>
      <c r="L2842" s="4">
        <v>0.34097222222222223</v>
      </c>
      <c r="M2842" s="3" t="s">
        <v>31</v>
      </c>
      <c r="N2842" s="3" t="s">
        <v>24</v>
      </c>
      <c r="O2842" s="3" t="s">
        <v>25</v>
      </c>
    </row>
    <row r="2843" spans="1:15">
      <c r="A2843" s="3" t="s">
        <v>15</v>
      </c>
      <c r="B2843" s="3" t="str">
        <f>"FES1162743143"</f>
        <v>FES1162743143</v>
      </c>
      <c r="C2843" s="3" t="s">
        <v>1966</v>
      </c>
      <c r="D2843" s="3">
        <v>1</v>
      </c>
      <c r="E2843" s="3" t="str">
        <f>"2170734554"</f>
        <v>2170734554</v>
      </c>
      <c r="F2843" s="3" t="s">
        <v>17</v>
      </c>
      <c r="G2843" s="3" t="s">
        <v>18</v>
      </c>
      <c r="H2843" s="3" t="s">
        <v>534</v>
      </c>
      <c r="I2843" s="3" t="s">
        <v>535</v>
      </c>
      <c r="J2843" s="3" t="s">
        <v>536</v>
      </c>
      <c r="K2843" s="3" t="s">
        <v>2154</v>
      </c>
      <c r="L2843" s="4">
        <v>0.39583333333333331</v>
      </c>
      <c r="M2843" s="3" t="s">
        <v>232</v>
      </c>
      <c r="N2843" s="3" t="s">
        <v>24</v>
      </c>
      <c r="O2843" s="3" t="s">
        <v>25</v>
      </c>
    </row>
    <row r="2844" spans="1:15">
      <c r="A2844" s="3" t="s">
        <v>15</v>
      </c>
      <c r="B2844" s="3" t="str">
        <f>"FES1162743121"</f>
        <v>FES1162743121</v>
      </c>
      <c r="C2844" s="3" t="s">
        <v>1966</v>
      </c>
      <c r="D2844" s="3">
        <v>1</v>
      </c>
      <c r="E2844" s="3" t="str">
        <f>"2170734514"</f>
        <v>2170734514</v>
      </c>
      <c r="F2844" s="3" t="s">
        <v>17</v>
      </c>
      <c r="G2844" s="3" t="s">
        <v>18</v>
      </c>
      <c r="H2844" s="3" t="s">
        <v>100</v>
      </c>
      <c r="I2844" s="3" t="s">
        <v>101</v>
      </c>
      <c r="J2844" s="3" t="s">
        <v>34</v>
      </c>
      <c r="K2844" s="3" t="s">
        <v>2154</v>
      </c>
      <c r="L2844" s="4">
        <v>0.33402777777777781</v>
      </c>
      <c r="M2844" s="3" t="s">
        <v>2011</v>
      </c>
      <c r="N2844" s="3" t="s">
        <v>24</v>
      </c>
      <c r="O2844" s="3" t="s">
        <v>25</v>
      </c>
    </row>
    <row r="2845" spans="1:15">
      <c r="A2845" s="7" t="s">
        <v>15</v>
      </c>
      <c r="B2845" s="7" t="str">
        <f>"FES1162743109"</f>
        <v>FES1162743109</v>
      </c>
      <c r="C2845" s="7" t="s">
        <v>1966</v>
      </c>
      <c r="D2845" s="7">
        <v>1</v>
      </c>
      <c r="E2845" s="7" t="str">
        <f>"2170734493"</f>
        <v>2170734493</v>
      </c>
      <c r="F2845" s="7" t="s">
        <v>17</v>
      </c>
      <c r="G2845" s="7" t="s">
        <v>18</v>
      </c>
      <c r="H2845" s="7" t="s">
        <v>18</v>
      </c>
      <c r="I2845" s="7" t="s">
        <v>33</v>
      </c>
      <c r="J2845" s="7" t="s">
        <v>284</v>
      </c>
      <c r="K2845" s="7" t="s">
        <v>447</v>
      </c>
      <c r="L2845" s="7"/>
      <c r="M2845" s="7" t="s">
        <v>448</v>
      </c>
      <c r="N2845" s="7" t="s">
        <v>2155</v>
      </c>
      <c r="O2845" s="7" t="s">
        <v>2155</v>
      </c>
    </row>
    <row r="2846" spans="1:15">
      <c r="A2846" s="3" t="s">
        <v>15</v>
      </c>
      <c r="B2846" s="3" t="str">
        <f>"FES1162743085"</f>
        <v>FES1162743085</v>
      </c>
      <c r="C2846" s="3" t="s">
        <v>1966</v>
      </c>
      <c r="D2846" s="3">
        <v>1</v>
      </c>
      <c r="E2846" s="3" t="str">
        <f>"2170733454"</f>
        <v>2170733454</v>
      </c>
      <c r="F2846" s="3" t="s">
        <v>17</v>
      </c>
      <c r="G2846" s="3" t="s">
        <v>18</v>
      </c>
      <c r="H2846" s="3" t="s">
        <v>18</v>
      </c>
      <c r="I2846" s="3" t="s">
        <v>168</v>
      </c>
      <c r="J2846" s="3" t="s">
        <v>169</v>
      </c>
      <c r="K2846" s="3" t="s">
        <v>2154</v>
      </c>
      <c r="L2846" s="4">
        <v>0.40625</v>
      </c>
      <c r="M2846" s="3" t="s">
        <v>170</v>
      </c>
      <c r="N2846" s="3" t="s">
        <v>24</v>
      </c>
      <c r="O2846" s="3" t="s">
        <v>25</v>
      </c>
    </row>
    <row r="2847" spans="1:15">
      <c r="A2847" s="3" t="s">
        <v>15</v>
      </c>
      <c r="B2847" s="3" t="str">
        <f>"FES1162743129"</f>
        <v>FES1162743129</v>
      </c>
      <c r="C2847" s="3" t="s">
        <v>1966</v>
      </c>
      <c r="D2847" s="3">
        <v>1</v>
      </c>
      <c r="E2847" s="3" t="str">
        <f>"2170734531"</f>
        <v>2170734531</v>
      </c>
      <c r="F2847" s="3" t="s">
        <v>17</v>
      </c>
      <c r="G2847" s="3" t="s">
        <v>18</v>
      </c>
      <c r="H2847" s="3" t="s">
        <v>100</v>
      </c>
      <c r="I2847" s="3" t="s">
        <v>117</v>
      </c>
      <c r="J2847" s="3" t="s">
        <v>118</v>
      </c>
      <c r="K2847" s="3" t="s">
        <v>2154</v>
      </c>
      <c r="L2847" s="4">
        <v>0.46458333333333335</v>
      </c>
      <c r="M2847" s="3" t="s">
        <v>119</v>
      </c>
      <c r="N2847" s="3" t="s">
        <v>24</v>
      </c>
      <c r="O2847" s="3" t="s">
        <v>25</v>
      </c>
    </row>
    <row r="2848" spans="1:15">
      <c r="A2848" s="5" t="s">
        <v>15</v>
      </c>
      <c r="B2848" s="5" t="str">
        <f>"FES1162743125"</f>
        <v>FES1162743125</v>
      </c>
      <c r="C2848" s="5" t="s">
        <v>1966</v>
      </c>
      <c r="D2848" s="5">
        <v>1</v>
      </c>
      <c r="E2848" s="5" t="str">
        <f>"2170734521"</f>
        <v>2170734521</v>
      </c>
      <c r="F2848" s="5" t="s">
        <v>17</v>
      </c>
      <c r="G2848" s="5" t="s">
        <v>18</v>
      </c>
      <c r="H2848" s="5" t="s">
        <v>100</v>
      </c>
      <c r="I2848" s="5" t="s">
        <v>101</v>
      </c>
      <c r="J2848" s="5" t="s">
        <v>125</v>
      </c>
      <c r="K2848" s="5" t="s">
        <v>2154</v>
      </c>
      <c r="L2848" s="6">
        <v>0.29791666666666666</v>
      </c>
      <c r="M2848" s="5" t="s">
        <v>2156</v>
      </c>
      <c r="N2848" s="5" t="s">
        <v>24</v>
      </c>
      <c r="O2848" s="5" t="s">
        <v>25</v>
      </c>
    </row>
    <row r="2849" spans="1:15">
      <c r="A2849" s="5" t="s">
        <v>15</v>
      </c>
      <c r="B2849" s="5" t="str">
        <f>"FES1162743136"</f>
        <v>FES1162743136</v>
      </c>
      <c r="C2849" s="5" t="s">
        <v>1966</v>
      </c>
      <c r="D2849" s="5">
        <v>1</v>
      </c>
      <c r="E2849" s="5" t="str">
        <f>"2170734542"</f>
        <v>2170734542</v>
      </c>
      <c r="F2849" s="5" t="s">
        <v>17</v>
      </c>
      <c r="G2849" s="5" t="s">
        <v>18</v>
      </c>
      <c r="H2849" s="5" t="s">
        <v>36</v>
      </c>
      <c r="I2849" s="5" t="s">
        <v>37</v>
      </c>
      <c r="J2849" s="5" t="s">
        <v>260</v>
      </c>
      <c r="K2849" s="5" t="s">
        <v>2154</v>
      </c>
      <c r="L2849" s="6">
        <v>0.3659722222222222</v>
      </c>
      <c r="M2849" s="5" t="s">
        <v>691</v>
      </c>
      <c r="N2849" s="5" t="s">
        <v>24</v>
      </c>
      <c r="O2849" s="5" t="s">
        <v>25</v>
      </c>
    </row>
    <row r="2850" spans="1:15">
      <c r="A2850" s="5" t="s">
        <v>15</v>
      </c>
      <c r="B2850" s="5" t="str">
        <f>"FES1162743172"</f>
        <v>FES1162743172</v>
      </c>
      <c r="C2850" s="5" t="s">
        <v>1966</v>
      </c>
      <c r="D2850" s="5">
        <v>1</v>
      </c>
      <c r="E2850" s="5" t="str">
        <f>"2170734587"</f>
        <v>2170734587</v>
      </c>
      <c r="F2850" s="5" t="s">
        <v>17</v>
      </c>
      <c r="G2850" s="5" t="s">
        <v>18</v>
      </c>
      <c r="H2850" s="5" t="s">
        <v>36</v>
      </c>
      <c r="I2850" s="5" t="s">
        <v>2157</v>
      </c>
      <c r="J2850" s="5" t="s">
        <v>2158</v>
      </c>
      <c r="K2850" s="5" t="s">
        <v>2154</v>
      </c>
      <c r="L2850" s="6">
        <v>0.3659722222222222</v>
      </c>
      <c r="M2850" s="5" t="s">
        <v>2159</v>
      </c>
      <c r="N2850" s="5" t="s">
        <v>24</v>
      </c>
      <c r="O2850" s="5" t="s">
        <v>25</v>
      </c>
    </row>
    <row r="2851" spans="1:15">
      <c r="A2851" s="5" t="s">
        <v>15</v>
      </c>
      <c r="B2851" s="5" t="str">
        <f>"FES1162743094"</f>
        <v>FES1162743094</v>
      </c>
      <c r="C2851" s="5" t="s">
        <v>1966</v>
      </c>
      <c r="D2851" s="5">
        <v>1</v>
      </c>
      <c r="E2851" s="5" t="str">
        <f>"2170734474"</f>
        <v>2170734474</v>
      </c>
      <c r="F2851" s="5" t="s">
        <v>17</v>
      </c>
      <c r="G2851" s="5" t="s">
        <v>18</v>
      </c>
      <c r="H2851" s="5" t="s">
        <v>19</v>
      </c>
      <c r="I2851" s="5" t="s">
        <v>20</v>
      </c>
      <c r="J2851" s="5" t="s">
        <v>1360</v>
      </c>
      <c r="K2851" s="5" t="s">
        <v>2154</v>
      </c>
      <c r="L2851" s="6">
        <v>0.35625000000000001</v>
      </c>
      <c r="M2851" s="5" t="s">
        <v>956</v>
      </c>
      <c r="N2851" s="5" t="s">
        <v>24</v>
      </c>
      <c r="O2851" s="5" t="s">
        <v>25</v>
      </c>
    </row>
    <row r="2852" spans="1:15">
      <c r="A2852" s="5" t="s">
        <v>15</v>
      </c>
      <c r="B2852" s="5" t="str">
        <f>"FES1162743128"</f>
        <v>FES1162743128</v>
      </c>
      <c r="C2852" s="5" t="s">
        <v>1966</v>
      </c>
      <c r="D2852" s="5">
        <v>1</v>
      </c>
      <c r="E2852" s="5" t="str">
        <f>"2170734524"</f>
        <v>2170734524</v>
      </c>
      <c r="F2852" s="5" t="s">
        <v>17</v>
      </c>
      <c r="G2852" s="5" t="s">
        <v>18</v>
      </c>
      <c r="H2852" s="5" t="s">
        <v>19</v>
      </c>
      <c r="I2852" s="5" t="s">
        <v>51</v>
      </c>
      <c r="J2852" s="5" t="s">
        <v>429</v>
      </c>
      <c r="K2852" s="5" t="s">
        <v>2154</v>
      </c>
      <c r="L2852" s="6">
        <v>0.42222222222222222</v>
      </c>
      <c r="M2852" s="5" t="s">
        <v>982</v>
      </c>
      <c r="N2852" s="5" t="s">
        <v>24</v>
      </c>
      <c r="O2852" s="5" t="s">
        <v>25</v>
      </c>
    </row>
    <row r="2853" spans="1:15">
      <c r="A2853" s="5" t="s">
        <v>15</v>
      </c>
      <c r="B2853" s="5" t="str">
        <f>"FES1162743081"</f>
        <v>FES1162743081</v>
      </c>
      <c r="C2853" s="5" t="s">
        <v>1966</v>
      </c>
      <c r="D2853" s="5">
        <v>1</v>
      </c>
      <c r="E2853" s="5" t="str">
        <f>"2170734460"</f>
        <v>2170734460</v>
      </c>
      <c r="F2853" s="5" t="s">
        <v>17</v>
      </c>
      <c r="G2853" s="5" t="s">
        <v>18</v>
      </c>
      <c r="H2853" s="5" t="s">
        <v>19</v>
      </c>
      <c r="I2853" s="5" t="s">
        <v>51</v>
      </c>
      <c r="J2853" s="5" t="s">
        <v>429</v>
      </c>
      <c r="K2853" s="5" t="s">
        <v>2154</v>
      </c>
      <c r="L2853" s="6">
        <v>0.42222222222222222</v>
      </c>
      <c r="M2853" s="5" t="s">
        <v>982</v>
      </c>
      <c r="N2853" s="5" t="s">
        <v>24</v>
      </c>
      <c r="O2853" s="5" t="s">
        <v>25</v>
      </c>
    </row>
    <row r="2854" spans="1:15">
      <c r="A2854" s="3" t="s">
        <v>15</v>
      </c>
      <c r="B2854" s="3" t="str">
        <f>"FES1162743155"</f>
        <v>FES1162743155</v>
      </c>
      <c r="C2854" s="3" t="s">
        <v>1966</v>
      </c>
      <c r="D2854" s="3">
        <v>1</v>
      </c>
      <c r="E2854" s="3" t="str">
        <f>"2170734563"</f>
        <v>2170734563</v>
      </c>
      <c r="F2854" s="3" t="s">
        <v>17</v>
      </c>
      <c r="G2854" s="3" t="s">
        <v>18</v>
      </c>
      <c r="H2854" s="3" t="s">
        <v>100</v>
      </c>
      <c r="I2854" s="3" t="s">
        <v>101</v>
      </c>
      <c r="J2854" s="3" t="s">
        <v>2160</v>
      </c>
      <c r="K2854" s="3" t="s">
        <v>2154</v>
      </c>
      <c r="L2854" s="4">
        <v>0.4465277777777778</v>
      </c>
      <c r="M2854" s="3" t="s">
        <v>2161</v>
      </c>
      <c r="N2854" s="3" t="s">
        <v>24</v>
      </c>
      <c r="O2854" s="3" t="s">
        <v>25</v>
      </c>
    </row>
    <row r="2855" spans="1:15">
      <c r="A2855" s="3" t="s">
        <v>15</v>
      </c>
      <c r="B2855" s="3" t="str">
        <f>"FES1162743166"</f>
        <v>FES1162743166</v>
      </c>
      <c r="C2855" s="3" t="s">
        <v>1966</v>
      </c>
      <c r="D2855" s="3">
        <v>1</v>
      </c>
      <c r="E2855" s="3" t="str">
        <f>"2170734581"</f>
        <v>2170734581</v>
      </c>
      <c r="F2855" s="3" t="s">
        <v>17</v>
      </c>
      <c r="G2855" s="3" t="s">
        <v>18</v>
      </c>
      <c r="H2855" s="3" t="s">
        <v>18</v>
      </c>
      <c r="I2855" s="3" t="s">
        <v>33</v>
      </c>
      <c r="J2855" s="3" t="s">
        <v>2162</v>
      </c>
      <c r="K2855" s="3" t="s">
        <v>2154</v>
      </c>
      <c r="L2855" s="4">
        <v>0.40833333333333338</v>
      </c>
      <c r="M2855" s="3" t="s">
        <v>2163</v>
      </c>
      <c r="N2855" s="3" t="s">
        <v>24</v>
      </c>
      <c r="O2855" s="3" t="s">
        <v>25</v>
      </c>
    </row>
    <row r="2856" spans="1:15">
      <c r="A2856" s="3" t="s">
        <v>15</v>
      </c>
      <c r="B2856" s="3" t="str">
        <f>"FES1162743174"</f>
        <v>FES1162743174</v>
      </c>
      <c r="C2856" s="3" t="s">
        <v>1966</v>
      </c>
      <c r="D2856" s="3">
        <v>1</v>
      </c>
      <c r="E2856" s="3" t="str">
        <f>"2170734589"</f>
        <v>2170734589</v>
      </c>
      <c r="F2856" s="3" t="s">
        <v>17</v>
      </c>
      <c r="G2856" s="3" t="s">
        <v>18</v>
      </c>
      <c r="H2856" s="3" t="s">
        <v>66</v>
      </c>
      <c r="I2856" s="3" t="s">
        <v>67</v>
      </c>
      <c r="J2856" s="3" t="s">
        <v>2164</v>
      </c>
      <c r="K2856" s="3" t="s">
        <v>2154</v>
      </c>
      <c r="L2856" s="4">
        <v>0.3923611111111111</v>
      </c>
      <c r="M2856" s="3" t="s">
        <v>2111</v>
      </c>
      <c r="N2856" s="3" t="s">
        <v>24</v>
      </c>
      <c r="O2856" s="3" t="s">
        <v>317</v>
      </c>
    </row>
    <row r="2857" spans="1:15">
      <c r="A2857" s="3" t="s">
        <v>15</v>
      </c>
      <c r="B2857" s="3" t="str">
        <f>"FES1162743105"</f>
        <v>FES1162743105</v>
      </c>
      <c r="C2857" s="3" t="s">
        <v>1966</v>
      </c>
      <c r="D2857" s="3">
        <v>1</v>
      </c>
      <c r="E2857" s="3" t="str">
        <f>"21707374417"</f>
        <v>21707374417</v>
      </c>
      <c r="F2857" s="3" t="s">
        <v>17</v>
      </c>
      <c r="G2857" s="3" t="s">
        <v>18</v>
      </c>
      <c r="H2857" s="3" t="s">
        <v>19</v>
      </c>
      <c r="I2857" s="3" t="s">
        <v>86</v>
      </c>
      <c r="J2857" s="3" t="s">
        <v>2165</v>
      </c>
      <c r="K2857" s="3" t="s">
        <v>2154</v>
      </c>
      <c r="L2857" s="4">
        <v>0.4694444444444445</v>
      </c>
      <c r="M2857" s="3" t="s">
        <v>2166</v>
      </c>
      <c r="N2857" s="3" t="s">
        <v>24</v>
      </c>
      <c r="O2857" s="3" t="s">
        <v>25</v>
      </c>
    </row>
    <row r="2858" spans="1:15">
      <c r="A2858" s="3" t="s">
        <v>15</v>
      </c>
      <c r="B2858" s="3" t="str">
        <f>"FES1162743086"</f>
        <v>FES1162743086</v>
      </c>
      <c r="C2858" s="3" t="s">
        <v>1966</v>
      </c>
      <c r="D2858" s="3">
        <v>1</v>
      </c>
      <c r="E2858" s="3" t="str">
        <f>"2170733801"</f>
        <v>2170733801</v>
      </c>
      <c r="F2858" s="3" t="s">
        <v>17</v>
      </c>
      <c r="G2858" s="3" t="s">
        <v>18</v>
      </c>
      <c r="H2858" s="3" t="s">
        <v>66</v>
      </c>
      <c r="I2858" s="3" t="s">
        <v>177</v>
      </c>
      <c r="J2858" s="3" t="s">
        <v>590</v>
      </c>
      <c r="K2858" s="3" t="s">
        <v>2154</v>
      </c>
      <c r="L2858" s="4">
        <v>0.375</v>
      </c>
      <c r="M2858" s="3" t="s">
        <v>268</v>
      </c>
      <c r="N2858" s="3" t="s">
        <v>24</v>
      </c>
      <c r="O2858" s="3" t="s">
        <v>25</v>
      </c>
    </row>
    <row r="2859" spans="1:15">
      <c r="A2859" s="3" t="s">
        <v>15</v>
      </c>
      <c r="B2859" s="3" t="str">
        <f>"FES1162743113"</f>
        <v>FES1162743113</v>
      </c>
      <c r="C2859" s="3" t="s">
        <v>1966</v>
      </c>
      <c r="D2859" s="3">
        <v>1</v>
      </c>
      <c r="E2859" s="3" t="str">
        <f>"2170734505"</f>
        <v>2170734505</v>
      </c>
      <c r="F2859" s="3" t="s">
        <v>17</v>
      </c>
      <c r="G2859" s="3" t="s">
        <v>18</v>
      </c>
      <c r="H2859" s="3" t="s">
        <v>46</v>
      </c>
      <c r="I2859" s="3" t="s">
        <v>47</v>
      </c>
      <c r="J2859" s="3" t="s">
        <v>62</v>
      </c>
      <c r="K2859" s="3" t="s">
        <v>2154</v>
      </c>
      <c r="L2859" s="4">
        <v>0.39097222222222222</v>
      </c>
      <c r="M2859" s="3" t="s">
        <v>1024</v>
      </c>
      <c r="N2859" s="3" t="s">
        <v>24</v>
      </c>
      <c r="O2859" s="3" t="s">
        <v>25</v>
      </c>
    </row>
    <row r="2860" spans="1:15">
      <c r="A2860" s="3" t="s">
        <v>15</v>
      </c>
      <c r="B2860" s="3" t="str">
        <f>"FES1162743115"</f>
        <v>FES1162743115</v>
      </c>
      <c r="C2860" s="3" t="s">
        <v>1966</v>
      </c>
      <c r="D2860" s="3">
        <v>1</v>
      </c>
      <c r="E2860" s="3" t="str">
        <f>"2170734508"</f>
        <v>2170734508</v>
      </c>
      <c r="F2860" s="3" t="s">
        <v>17</v>
      </c>
      <c r="G2860" s="3" t="s">
        <v>18</v>
      </c>
      <c r="H2860" s="3" t="s">
        <v>70</v>
      </c>
      <c r="I2860" s="3" t="s">
        <v>71</v>
      </c>
      <c r="J2860" s="3" t="s">
        <v>248</v>
      </c>
      <c r="K2860" s="3" t="s">
        <v>2154</v>
      </c>
      <c r="L2860" s="4">
        <v>0.39583333333333331</v>
      </c>
      <c r="M2860" s="3" t="s">
        <v>929</v>
      </c>
      <c r="N2860" s="3" t="s">
        <v>24</v>
      </c>
      <c r="O2860" s="3" t="s">
        <v>25</v>
      </c>
    </row>
    <row r="2861" spans="1:15">
      <c r="A2861" s="7" t="s">
        <v>15</v>
      </c>
      <c r="B2861" s="7" t="str">
        <f>"FES1162743114"</f>
        <v>FES1162743114</v>
      </c>
      <c r="C2861" s="7" t="s">
        <v>1966</v>
      </c>
      <c r="D2861" s="7">
        <v>1</v>
      </c>
      <c r="E2861" s="7" t="str">
        <f>"2170734057"</f>
        <v>2170734057</v>
      </c>
      <c r="F2861" s="7" t="s">
        <v>17</v>
      </c>
      <c r="G2861" s="7" t="s">
        <v>18</v>
      </c>
      <c r="H2861" s="7" t="s">
        <v>19</v>
      </c>
      <c r="I2861" s="7" t="s">
        <v>445</v>
      </c>
      <c r="J2861" s="7" t="s">
        <v>446</v>
      </c>
      <c r="K2861" s="7" t="s">
        <v>447</v>
      </c>
      <c r="L2861" s="7"/>
      <c r="M2861" s="7" t="s">
        <v>448</v>
      </c>
      <c r="N2861" s="7" t="s">
        <v>2167</v>
      </c>
      <c r="O2861" s="7" t="s">
        <v>2167</v>
      </c>
    </row>
    <row r="2862" spans="1:15">
      <c r="A2862" s="3" t="s">
        <v>15</v>
      </c>
      <c r="B2862" s="3" t="str">
        <f>"FES11627434498"</f>
        <v>FES11627434498</v>
      </c>
      <c r="C2862" s="3" t="s">
        <v>1966</v>
      </c>
      <c r="D2862" s="3">
        <v>1</v>
      </c>
      <c r="E2862" s="3" t="str">
        <f>"2170734498"</f>
        <v>2170734498</v>
      </c>
      <c r="F2862" s="3" t="s">
        <v>17</v>
      </c>
      <c r="G2862" s="3" t="s">
        <v>18</v>
      </c>
      <c r="H2862" s="3" t="s">
        <v>66</v>
      </c>
      <c r="I2862" s="3" t="s">
        <v>67</v>
      </c>
      <c r="J2862" s="3" t="s">
        <v>1867</v>
      </c>
      <c r="K2862" s="3" t="s">
        <v>2154</v>
      </c>
      <c r="L2862" s="4">
        <v>0.34375</v>
      </c>
      <c r="M2862" s="3" t="s">
        <v>1868</v>
      </c>
      <c r="N2862" s="3" t="s">
        <v>24</v>
      </c>
      <c r="O2862" s="3" t="s">
        <v>25</v>
      </c>
    </row>
    <row r="2863" spans="1:15">
      <c r="A2863" s="3" t="s">
        <v>15</v>
      </c>
      <c r="B2863" s="3" t="str">
        <f>"FES1162743092"</f>
        <v>FES1162743092</v>
      </c>
      <c r="C2863" s="3" t="s">
        <v>1966</v>
      </c>
      <c r="D2863" s="3">
        <v>1</v>
      </c>
      <c r="E2863" s="3" t="str">
        <f>"2170734472"</f>
        <v>2170734472</v>
      </c>
      <c r="F2863" s="3" t="s">
        <v>17</v>
      </c>
      <c r="G2863" s="3" t="s">
        <v>18</v>
      </c>
      <c r="H2863" s="3" t="s">
        <v>19</v>
      </c>
      <c r="I2863" s="3" t="s">
        <v>51</v>
      </c>
      <c r="J2863" s="3" t="s">
        <v>64</v>
      </c>
      <c r="K2863" s="3" t="s">
        <v>2154</v>
      </c>
      <c r="L2863" s="4">
        <v>0.40902777777777777</v>
      </c>
      <c r="M2863" s="3" t="s">
        <v>963</v>
      </c>
      <c r="N2863" s="3" t="s">
        <v>24</v>
      </c>
      <c r="O2863" s="3" t="s">
        <v>25</v>
      </c>
    </row>
    <row r="2864" spans="1:15">
      <c r="A2864" s="3" t="s">
        <v>15</v>
      </c>
      <c r="B2864" s="3" t="str">
        <f>"FES1162743183"</f>
        <v>FES1162743183</v>
      </c>
      <c r="C2864" s="3" t="s">
        <v>1966</v>
      </c>
      <c r="D2864" s="3">
        <v>1</v>
      </c>
      <c r="E2864" s="3" t="str">
        <f>"2170734597"</f>
        <v>2170734597</v>
      </c>
      <c r="F2864" s="3" t="s">
        <v>17</v>
      </c>
      <c r="G2864" s="3" t="s">
        <v>18</v>
      </c>
      <c r="H2864" s="3" t="s">
        <v>66</v>
      </c>
      <c r="I2864" s="3" t="s">
        <v>67</v>
      </c>
      <c r="J2864" s="3" t="s">
        <v>2168</v>
      </c>
      <c r="K2864" s="3" t="s">
        <v>2154</v>
      </c>
      <c r="L2864" s="4">
        <v>0.4236111111111111</v>
      </c>
      <c r="M2864" s="3" t="s">
        <v>2169</v>
      </c>
      <c r="N2864" s="3" t="s">
        <v>24</v>
      </c>
      <c r="O2864" s="3" t="s">
        <v>25</v>
      </c>
    </row>
    <row r="2865" spans="1:15">
      <c r="A2865" s="3" t="s">
        <v>15</v>
      </c>
      <c r="B2865" s="3" t="str">
        <f>"FES1162743132"</f>
        <v>FES1162743132</v>
      </c>
      <c r="C2865" s="3" t="s">
        <v>1966</v>
      </c>
      <c r="D2865" s="3">
        <v>1</v>
      </c>
      <c r="E2865" s="3" t="str">
        <f>"2170734537"</f>
        <v>2170734537</v>
      </c>
      <c r="F2865" s="3" t="s">
        <v>17</v>
      </c>
      <c r="G2865" s="3" t="s">
        <v>18</v>
      </c>
      <c r="H2865" s="3" t="s">
        <v>100</v>
      </c>
      <c r="I2865" s="3" t="s">
        <v>117</v>
      </c>
      <c r="J2865" s="3" t="s">
        <v>1789</v>
      </c>
      <c r="K2865" s="3" t="s">
        <v>2154</v>
      </c>
      <c r="L2865" s="4">
        <v>0.41666666666666669</v>
      </c>
      <c r="M2865" s="3" t="s">
        <v>2010</v>
      </c>
      <c r="N2865" s="3" t="s">
        <v>24</v>
      </c>
      <c r="O2865" s="3" t="s">
        <v>25</v>
      </c>
    </row>
    <row r="2866" spans="1:15">
      <c r="A2866" s="3" t="s">
        <v>15</v>
      </c>
      <c r="B2866" s="3" t="str">
        <f>"FES1162743097"</f>
        <v>FES1162743097</v>
      </c>
      <c r="C2866" s="3" t="s">
        <v>1966</v>
      </c>
      <c r="D2866" s="3">
        <v>1</v>
      </c>
      <c r="E2866" s="3" t="str">
        <f>"2170734479"</f>
        <v>2170734479</v>
      </c>
      <c r="F2866" s="3" t="s">
        <v>17</v>
      </c>
      <c r="G2866" s="3" t="s">
        <v>18</v>
      </c>
      <c r="H2866" s="3" t="s">
        <v>100</v>
      </c>
      <c r="I2866" s="3" t="s">
        <v>101</v>
      </c>
      <c r="J2866" s="3" t="s">
        <v>1097</v>
      </c>
      <c r="K2866" s="3" t="s">
        <v>2154</v>
      </c>
      <c r="L2866" s="4">
        <v>0.33124999999999999</v>
      </c>
      <c r="M2866" s="3" t="s">
        <v>1669</v>
      </c>
      <c r="N2866" s="3" t="s">
        <v>24</v>
      </c>
      <c r="O2866" s="3" t="s">
        <v>25</v>
      </c>
    </row>
    <row r="2867" spans="1:15">
      <c r="A2867" s="3" t="s">
        <v>15</v>
      </c>
      <c r="B2867" s="3" t="str">
        <f>"FES1162743112"</f>
        <v>FES1162743112</v>
      </c>
      <c r="C2867" s="3" t="s">
        <v>1966</v>
      </c>
      <c r="D2867" s="3">
        <v>1</v>
      </c>
      <c r="E2867" s="3" t="str">
        <f>"2170734503"</f>
        <v>2170734503</v>
      </c>
      <c r="F2867" s="3" t="s">
        <v>17</v>
      </c>
      <c r="G2867" s="3" t="s">
        <v>18</v>
      </c>
      <c r="H2867" s="3" t="s">
        <v>100</v>
      </c>
      <c r="I2867" s="3" t="s">
        <v>117</v>
      </c>
      <c r="J2867" s="3" t="s">
        <v>2170</v>
      </c>
      <c r="K2867" s="3" t="s">
        <v>2154</v>
      </c>
      <c r="L2867" s="4">
        <v>0.61249999999999993</v>
      </c>
      <c r="M2867" s="3" t="s">
        <v>2171</v>
      </c>
      <c r="N2867" s="3" t="s">
        <v>24</v>
      </c>
      <c r="O2867" s="3" t="s">
        <v>25</v>
      </c>
    </row>
    <row r="2868" spans="1:15">
      <c r="A2868" s="3" t="s">
        <v>15</v>
      </c>
      <c r="B2868" s="3" t="str">
        <f>"FES1162743087"</f>
        <v>FES1162743087</v>
      </c>
      <c r="C2868" s="3" t="s">
        <v>1966</v>
      </c>
      <c r="D2868" s="3">
        <v>1</v>
      </c>
      <c r="E2868" s="3" t="str">
        <f>"2170733825"</f>
        <v>2170733825</v>
      </c>
      <c r="F2868" s="3" t="s">
        <v>17</v>
      </c>
      <c r="G2868" s="3" t="s">
        <v>18</v>
      </c>
      <c r="H2868" s="3" t="s">
        <v>18</v>
      </c>
      <c r="I2868" s="3" t="s">
        <v>29</v>
      </c>
      <c r="J2868" s="3" t="s">
        <v>618</v>
      </c>
      <c r="K2868" s="3" t="s">
        <v>2154</v>
      </c>
      <c r="L2868" s="4">
        <v>0.3298611111111111</v>
      </c>
      <c r="M2868" s="3" t="s">
        <v>2172</v>
      </c>
      <c r="N2868" s="3" t="s">
        <v>24</v>
      </c>
      <c r="O2868" s="3" t="s">
        <v>25</v>
      </c>
    </row>
    <row r="2869" spans="1:15">
      <c r="A2869" s="3" t="s">
        <v>15</v>
      </c>
      <c r="B2869" s="3" t="str">
        <f>"FES1162743135"</f>
        <v>FES1162743135</v>
      </c>
      <c r="C2869" s="3" t="s">
        <v>1966</v>
      </c>
      <c r="D2869" s="3">
        <v>1</v>
      </c>
      <c r="E2869" s="3" t="str">
        <f>"21707345417"</f>
        <v>21707345417</v>
      </c>
      <c r="F2869" s="3" t="s">
        <v>17</v>
      </c>
      <c r="G2869" s="3" t="s">
        <v>18</v>
      </c>
      <c r="H2869" s="3" t="s">
        <v>100</v>
      </c>
      <c r="I2869" s="3" t="s">
        <v>101</v>
      </c>
      <c r="J2869" s="3" t="s">
        <v>255</v>
      </c>
      <c r="K2869" s="3" t="s">
        <v>2154</v>
      </c>
      <c r="L2869" s="4">
        <v>0.4152777777777778</v>
      </c>
      <c r="M2869" s="3" t="s">
        <v>2173</v>
      </c>
      <c r="N2869" s="3" t="s">
        <v>24</v>
      </c>
      <c r="O2869" s="3" t="s">
        <v>25</v>
      </c>
    </row>
    <row r="2870" spans="1:15">
      <c r="A2870" s="11" t="s">
        <v>15</v>
      </c>
      <c r="B2870" s="11" t="str">
        <f>"FES1162743145"</f>
        <v>FES1162743145</v>
      </c>
      <c r="C2870" s="11" t="s">
        <v>1966</v>
      </c>
      <c r="D2870" s="11">
        <v>1</v>
      </c>
      <c r="E2870" s="11" t="str">
        <f>"2170734528"</f>
        <v>2170734528</v>
      </c>
      <c r="F2870" s="11" t="s">
        <v>17</v>
      </c>
      <c r="G2870" s="11" t="s">
        <v>18</v>
      </c>
      <c r="H2870" s="11" t="s">
        <v>215</v>
      </c>
      <c r="I2870" s="11" t="s">
        <v>2174</v>
      </c>
      <c r="J2870" s="11" t="s">
        <v>2175</v>
      </c>
      <c r="K2870" s="11" t="s">
        <v>447</v>
      </c>
      <c r="L2870" s="11"/>
      <c r="M2870" s="11" t="s">
        <v>448</v>
      </c>
      <c r="N2870" s="11" t="s">
        <v>1675</v>
      </c>
      <c r="O2870" s="11" t="s">
        <v>25</v>
      </c>
    </row>
    <row r="2871" spans="1:15">
      <c r="A2871" s="3" t="s">
        <v>15</v>
      </c>
      <c r="B2871" s="3" t="str">
        <f>"FES1162743084"</f>
        <v>FES1162743084</v>
      </c>
      <c r="C2871" s="3" t="s">
        <v>1966</v>
      </c>
      <c r="D2871" s="3">
        <v>1</v>
      </c>
      <c r="E2871" s="3" t="str">
        <f>"2170732552"</f>
        <v>2170732552</v>
      </c>
      <c r="F2871" s="3" t="s">
        <v>17</v>
      </c>
      <c r="G2871" s="3" t="s">
        <v>18</v>
      </c>
      <c r="H2871" s="3" t="s">
        <v>100</v>
      </c>
      <c r="I2871" s="3" t="s">
        <v>101</v>
      </c>
      <c r="J2871" s="3" t="s">
        <v>1217</v>
      </c>
      <c r="K2871" s="3" t="s">
        <v>2154</v>
      </c>
      <c r="L2871" s="4">
        <v>0.40347222222222223</v>
      </c>
      <c r="M2871" s="3" t="s">
        <v>2176</v>
      </c>
      <c r="N2871" s="3" t="s">
        <v>24</v>
      </c>
      <c r="O2871" s="3" t="s">
        <v>25</v>
      </c>
    </row>
    <row r="2872" spans="1:15">
      <c r="A2872" s="5" t="s">
        <v>15</v>
      </c>
      <c r="B2872" s="5" t="str">
        <f>"FES1162743126"</f>
        <v>FES1162743126</v>
      </c>
      <c r="C2872" s="5" t="s">
        <v>1966</v>
      </c>
      <c r="D2872" s="5">
        <v>1</v>
      </c>
      <c r="E2872" s="5" t="str">
        <f>"2170734522"</f>
        <v>2170734522</v>
      </c>
      <c r="F2872" s="5" t="s">
        <v>17</v>
      </c>
      <c r="G2872" s="5" t="s">
        <v>18</v>
      </c>
      <c r="H2872" s="5" t="s">
        <v>100</v>
      </c>
      <c r="I2872" s="5" t="s">
        <v>117</v>
      </c>
      <c r="J2872" s="5" t="s">
        <v>285</v>
      </c>
      <c r="K2872" s="5" t="s">
        <v>2154</v>
      </c>
      <c r="L2872" s="6">
        <v>0.4777777777777778</v>
      </c>
      <c r="M2872" s="5" t="s">
        <v>286</v>
      </c>
      <c r="N2872" s="5" t="s">
        <v>24</v>
      </c>
      <c r="O2872" s="5" t="s">
        <v>25</v>
      </c>
    </row>
    <row r="2873" spans="1:15">
      <c r="A2873" s="5" t="s">
        <v>15</v>
      </c>
      <c r="B2873" s="5" t="str">
        <f>"FES1162743091"</f>
        <v>FES1162743091</v>
      </c>
      <c r="C2873" s="5" t="s">
        <v>1966</v>
      </c>
      <c r="D2873" s="5">
        <v>1</v>
      </c>
      <c r="E2873" s="5" t="str">
        <f>"2170734461"</f>
        <v>2170734461</v>
      </c>
      <c r="F2873" s="5" t="s">
        <v>17</v>
      </c>
      <c r="G2873" s="5" t="s">
        <v>18</v>
      </c>
      <c r="H2873" s="5" t="s">
        <v>100</v>
      </c>
      <c r="I2873" s="5" t="s">
        <v>262</v>
      </c>
      <c r="J2873" s="5" t="s">
        <v>409</v>
      </c>
      <c r="K2873" s="5" t="s">
        <v>2154</v>
      </c>
      <c r="L2873" s="6">
        <v>0.4777777777777778</v>
      </c>
      <c r="M2873" s="5" t="s">
        <v>1822</v>
      </c>
      <c r="N2873" s="5" t="s">
        <v>24</v>
      </c>
      <c r="O2873" s="5" t="s">
        <v>25</v>
      </c>
    </row>
    <row r="2874" spans="1:15">
      <c r="A2874" s="5" t="s">
        <v>15</v>
      </c>
      <c r="B2874" s="5" t="str">
        <f>"FES1162743138"</f>
        <v>FES1162743138</v>
      </c>
      <c r="C2874" s="5" t="s">
        <v>1966</v>
      </c>
      <c r="D2874" s="5">
        <v>1</v>
      </c>
      <c r="E2874" s="5" t="str">
        <f>"2170734545"</f>
        <v>2170734545</v>
      </c>
      <c r="F2874" s="5" t="s">
        <v>17</v>
      </c>
      <c r="G2874" s="5" t="s">
        <v>18</v>
      </c>
      <c r="H2874" s="5" t="s">
        <v>100</v>
      </c>
      <c r="I2874" s="5" t="s">
        <v>101</v>
      </c>
      <c r="J2874" s="5" t="s">
        <v>1285</v>
      </c>
      <c r="K2874" s="5" t="s">
        <v>2154</v>
      </c>
      <c r="L2874" s="6">
        <v>0.41875000000000001</v>
      </c>
      <c r="M2874" s="5" t="s">
        <v>1286</v>
      </c>
      <c r="N2874" s="5" t="s">
        <v>24</v>
      </c>
      <c r="O2874" s="5" t="s">
        <v>25</v>
      </c>
    </row>
    <row r="2875" spans="1:15">
      <c r="A2875" s="5" t="s">
        <v>15</v>
      </c>
      <c r="B2875" s="5" t="str">
        <f>"FES1162743089"</f>
        <v>FES1162743089</v>
      </c>
      <c r="C2875" s="5" t="s">
        <v>1966</v>
      </c>
      <c r="D2875" s="5">
        <v>1</v>
      </c>
      <c r="E2875" s="5" t="str">
        <f>"217034122"</f>
        <v>217034122</v>
      </c>
      <c r="F2875" s="5" t="s">
        <v>17</v>
      </c>
      <c r="G2875" s="5" t="s">
        <v>18</v>
      </c>
      <c r="H2875" s="5" t="s">
        <v>18</v>
      </c>
      <c r="I2875" s="5" t="s">
        <v>151</v>
      </c>
      <c r="J2875" s="5" t="s">
        <v>2177</v>
      </c>
      <c r="K2875" s="5" t="s">
        <v>2154</v>
      </c>
      <c r="L2875" s="6">
        <v>0.39583333333333331</v>
      </c>
      <c r="M2875" s="5" t="s">
        <v>2178</v>
      </c>
      <c r="N2875" s="5" t="s">
        <v>24</v>
      </c>
      <c r="O2875" s="5" t="s">
        <v>25</v>
      </c>
    </row>
    <row r="2876" spans="1:15">
      <c r="A2876" s="5" t="s">
        <v>15</v>
      </c>
      <c r="B2876" s="5" t="str">
        <f>"FES1162743090"</f>
        <v>FES1162743090</v>
      </c>
      <c r="C2876" s="5" t="s">
        <v>1966</v>
      </c>
      <c r="D2876" s="5">
        <v>1</v>
      </c>
      <c r="E2876" s="5" t="str">
        <f>"2170734327"</f>
        <v>2170734327</v>
      </c>
      <c r="F2876" s="5" t="s">
        <v>17</v>
      </c>
      <c r="G2876" s="5" t="s">
        <v>18</v>
      </c>
      <c r="H2876" s="5" t="s">
        <v>66</v>
      </c>
      <c r="I2876" s="5" t="s">
        <v>67</v>
      </c>
      <c r="J2876" s="5" t="s">
        <v>2179</v>
      </c>
      <c r="K2876" s="5" t="s">
        <v>2154</v>
      </c>
      <c r="L2876" s="6">
        <v>0.39930555555555558</v>
      </c>
      <c r="M2876" s="5" t="s">
        <v>2180</v>
      </c>
      <c r="N2876" s="5" t="s">
        <v>24</v>
      </c>
      <c r="O2876" s="5" t="s">
        <v>25</v>
      </c>
    </row>
    <row r="2877" spans="1:15">
      <c r="A2877" s="5" t="s">
        <v>15</v>
      </c>
      <c r="B2877" s="5" t="str">
        <f>"FES1162743116"</f>
        <v>FES1162743116</v>
      </c>
      <c r="C2877" s="5" t="s">
        <v>1966</v>
      </c>
      <c r="D2877" s="5">
        <v>1</v>
      </c>
      <c r="E2877" s="5" t="str">
        <f>"2170734509"</f>
        <v>2170734509</v>
      </c>
      <c r="F2877" s="5" t="s">
        <v>17</v>
      </c>
      <c r="G2877" s="5" t="s">
        <v>18</v>
      </c>
      <c r="H2877" s="5" t="s">
        <v>18</v>
      </c>
      <c r="I2877" s="5" t="s">
        <v>33</v>
      </c>
      <c r="J2877" s="5" t="s">
        <v>93</v>
      </c>
      <c r="K2877" s="5" t="s">
        <v>2154</v>
      </c>
      <c r="L2877" s="6">
        <v>0.41666666666666669</v>
      </c>
      <c r="M2877" s="5" t="s">
        <v>208</v>
      </c>
      <c r="N2877" s="5" t="s">
        <v>24</v>
      </c>
      <c r="O2877" s="5" t="s">
        <v>25</v>
      </c>
    </row>
    <row r="2878" spans="1:15">
      <c r="A2878" s="5" t="s">
        <v>15</v>
      </c>
      <c r="B2878" s="5" t="str">
        <f>"FES1162743117"</f>
        <v>FES1162743117</v>
      </c>
      <c r="C2878" s="5" t="s">
        <v>1966</v>
      </c>
      <c r="D2878" s="5">
        <v>1</v>
      </c>
      <c r="E2878" s="5" t="str">
        <f>"2170734510"</f>
        <v>2170734510</v>
      </c>
      <c r="F2878" s="5" t="s">
        <v>17</v>
      </c>
      <c r="G2878" s="5" t="s">
        <v>18</v>
      </c>
      <c r="H2878" s="5" t="s">
        <v>18</v>
      </c>
      <c r="I2878" s="5" t="s">
        <v>309</v>
      </c>
      <c r="J2878" s="5" t="s">
        <v>278</v>
      </c>
      <c r="K2878" s="5" t="s">
        <v>2154</v>
      </c>
      <c r="L2878" s="6">
        <v>0.35902777777777778</v>
      </c>
      <c r="M2878" s="5" t="s">
        <v>815</v>
      </c>
      <c r="N2878" s="5" t="s">
        <v>24</v>
      </c>
      <c r="O2878" s="5" t="s">
        <v>25</v>
      </c>
    </row>
    <row r="2879" spans="1:15">
      <c r="A2879" s="3" t="s">
        <v>15</v>
      </c>
      <c r="B2879" s="3" t="str">
        <f>"FES1162743148"</f>
        <v>FES1162743148</v>
      </c>
      <c r="C2879" s="3" t="s">
        <v>1966</v>
      </c>
      <c r="D2879" s="3">
        <v>1</v>
      </c>
      <c r="E2879" s="3" t="str">
        <f>"217073455"</f>
        <v>217073455</v>
      </c>
      <c r="F2879" s="3" t="s">
        <v>17</v>
      </c>
      <c r="G2879" s="3" t="s">
        <v>18</v>
      </c>
      <c r="H2879" s="3" t="s">
        <v>18</v>
      </c>
      <c r="I2879" s="3" t="s">
        <v>180</v>
      </c>
      <c r="J2879" s="3" t="s">
        <v>856</v>
      </c>
      <c r="K2879" s="3" t="s">
        <v>2154</v>
      </c>
      <c r="L2879" s="4">
        <v>0.3756944444444445</v>
      </c>
      <c r="M2879" s="3" t="s">
        <v>1709</v>
      </c>
      <c r="N2879" s="3" t="s">
        <v>24</v>
      </c>
      <c r="O2879" s="3" t="s">
        <v>25</v>
      </c>
    </row>
    <row r="2880" spans="1:15">
      <c r="A2880" s="3" t="s">
        <v>15</v>
      </c>
      <c r="B2880" s="3" t="str">
        <f>"FES1162743078"</f>
        <v>FES1162743078</v>
      </c>
      <c r="C2880" s="3" t="s">
        <v>1966</v>
      </c>
      <c r="D2880" s="3">
        <v>1</v>
      </c>
      <c r="E2880" s="3" t="str">
        <f>"2170734455"</f>
        <v>2170734455</v>
      </c>
      <c r="F2880" s="3" t="s">
        <v>17</v>
      </c>
      <c r="G2880" s="3" t="s">
        <v>18</v>
      </c>
      <c r="H2880" s="3" t="s">
        <v>18</v>
      </c>
      <c r="I2880" s="3" t="s">
        <v>29</v>
      </c>
      <c r="J2880" s="3" t="s">
        <v>307</v>
      </c>
      <c r="K2880" s="3" t="s">
        <v>2154</v>
      </c>
      <c r="L2880" s="4">
        <v>0.35138888888888892</v>
      </c>
      <c r="M2880" s="3" t="s">
        <v>308</v>
      </c>
      <c r="N2880" s="3" t="s">
        <v>24</v>
      </c>
      <c r="O2880" s="3" t="s">
        <v>25</v>
      </c>
    </row>
    <row r="2881" spans="1:15">
      <c r="A2881" s="3" t="s">
        <v>15</v>
      </c>
      <c r="B2881" s="3" t="str">
        <f>"FES1162743156"</f>
        <v>FES1162743156</v>
      </c>
      <c r="C2881" s="3" t="s">
        <v>1966</v>
      </c>
      <c r="D2881" s="3">
        <v>1</v>
      </c>
      <c r="E2881" s="3" t="str">
        <f>"2170734564"</f>
        <v>2170734564</v>
      </c>
      <c r="F2881" s="3" t="s">
        <v>17</v>
      </c>
      <c r="G2881" s="3" t="s">
        <v>18</v>
      </c>
      <c r="H2881" s="3" t="s">
        <v>100</v>
      </c>
      <c r="I2881" s="3" t="s">
        <v>101</v>
      </c>
      <c r="J2881" s="3" t="s">
        <v>921</v>
      </c>
      <c r="K2881" s="3" t="s">
        <v>2154</v>
      </c>
      <c r="L2881" s="4">
        <v>0.31736111111111115</v>
      </c>
      <c r="M2881" s="3" t="s">
        <v>2181</v>
      </c>
      <c r="N2881" s="3" t="s">
        <v>24</v>
      </c>
      <c r="O2881" s="3" t="s">
        <v>25</v>
      </c>
    </row>
    <row r="2882" spans="1:15">
      <c r="A2882" s="3" t="s">
        <v>15</v>
      </c>
      <c r="B2882" s="3" t="str">
        <f>"FES1162743144"</f>
        <v>FES1162743144</v>
      </c>
      <c r="C2882" s="3" t="s">
        <v>1966</v>
      </c>
      <c r="D2882" s="3">
        <v>1</v>
      </c>
      <c r="E2882" s="3" t="str">
        <f>"2170734519"</f>
        <v>2170734519</v>
      </c>
      <c r="F2882" s="3" t="s">
        <v>17</v>
      </c>
      <c r="G2882" s="3" t="s">
        <v>18</v>
      </c>
      <c r="H2882" s="3" t="s">
        <v>18</v>
      </c>
      <c r="I2882" s="3" t="s">
        <v>29</v>
      </c>
      <c r="J2882" s="3" t="s">
        <v>74</v>
      </c>
      <c r="K2882" s="3" t="s">
        <v>2154</v>
      </c>
      <c r="L2882" s="4">
        <v>0.38541666666666669</v>
      </c>
      <c r="M2882" s="3" t="s">
        <v>208</v>
      </c>
      <c r="N2882" s="3" t="s">
        <v>24</v>
      </c>
      <c r="O2882" s="3" t="s">
        <v>25</v>
      </c>
    </row>
    <row r="2883" spans="1:15">
      <c r="A2883" s="3" t="s">
        <v>15</v>
      </c>
      <c r="B2883" s="3" t="str">
        <f>"FES1162743154"</f>
        <v>FES1162743154</v>
      </c>
      <c r="C2883" s="3" t="s">
        <v>1966</v>
      </c>
      <c r="D2883" s="3">
        <v>1</v>
      </c>
      <c r="E2883" s="3" t="str">
        <f>"2170734562"</f>
        <v>2170734562</v>
      </c>
      <c r="F2883" s="3" t="s">
        <v>17</v>
      </c>
      <c r="G2883" s="3" t="s">
        <v>18</v>
      </c>
      <c r="H2883" s="3" t="s">
        <v>100</v>
      </c>
      <c r="I2883" s="3" t="s">
        <v>101</v>
      </c>
      <c r="J2883" s="3" t="s">
        <v>131</v>
      </c>
      <c r="K2883" s="3" t="s">
        <v>2154</v>
      </c>
      <c r="L2883" s="4">
        <v>0.35902777777777778</v>
      </c>
      <c r="M2883" s="3" t="s">
        <v>132</v>
      </c>
      <c r="N2883" s="3" t="s">
        <v>24</v>
      </c>
      <c r="O2883" s="3" t="s">
        <v>25</v>
      </c>
    </row>
    <row r="2884" spans="1:15">
      <c r="A2884" s="3" t="s">
        <v>15</v>
      </c>
      <c r="B2884" s="3" t="str">
        <f>"FES1162743118"</f>
        <v>FES1162743118</v>
      </c>
      <c r="C2884" s="3" t="s">
        <v>1966</v>
      </c>
      <c r="D2884" s="3">
        <v>1</v>
      </c>
      <c r="E2884" s="3" t="str">
        <f>"2170734511"</f>
        <v>2170734511</v>
      </c>
      <c r="F2884" s="3" t="s">
        <v>528</v>
      </c>
      <c r="G2884" s="3" t="s">
        <v>948</v>
      </c>
      <c r="H2884" s="3" t="s">
        <v>948</v>
      </c>
      <c r="I2884" s="3" t="s">
        <v>29</v>
      </c>
      <c r="J2884" s="3" t="s">
        <v>980</v>
      </c>
      <c r="K2884" s="3" t="s">
        <v>2154</v>
      </c>
      <c r="L2884" s="4">
        <v>0.30555555555555552</v>
      </c>
      <c r="M2884" s="3" t="s">
        <v>1254</v>
      </c>
      <c r="N2884" s="3" t="s">
        <v>24</v>
      </c>
      <c r="O2884" s="3" t="s">
        <v>25</v>
      </c>
    </row>
    <row r="2885" spans="1:15">
      <c r="A2885" s="3" t="s">
        <v>15</v>
      </c>
      <c r="B2885" s="3" t="str">
        <f>"FES1162743153"</f>
        <v>FES1162743153</v>
      </c>
      <c r="C2885" s="3" t="s">
        <v>1966</v>
      </c>
      <c r="D2885" s="3">
        <v>1</v>
      </c>
      <c r="E2885" s="3" t="str">
        <f>"2170734560"</f>
        <v>2170734560</v>
      </c>
      <c r="F2885" s="3" t="s">
        <v>17</v>
      </c>
      <c r="G2885" s="3" t="s">
        <v>18</v>
      </c>
      <c r="H2885" s="3" t="s">
        <v>18</v>
      </c>
      <c r="I2885" s="3" t="s">
        <v>168</v>
      </c>
      <c r="J2885" s="3" t="s">
        <v>169</v>
      </c>
      <c r="K2885" s="3" t="s">
        <v>2154</v>
      </c>
      <c r="L2885" s="4">
        <v>0.40763888888888888</v>
      </c>
      <c r="M2885" s="3" t="s">
        <v>170</v>
      </c>
      <c r="N2885" s="3" t="s">
        <v>24</v>
      </c>
      <c r="O2885" s="3" t="s">
        <v>25</v>
      </c>
    </row>
    <row r="2886" spans="1:15">
      <c r="A2886" s="3" t="s">
        <v>15</v>
      </c>
      <c r="B2886" s="3" t="str">
        <f>"FES1162743180"</f>
        <v>FES1162743180</v>
      </c>
      <c r="C2886" s="3" t="s">
        <v>1966</v>
      </c>
      <c r="D2886" s="3">
        <v>1</v>
      </c>
      <c r="E2886" s="3" t="str">
        <f>"2170734579"</f>
        <v>2170734579</v>
      </c>
      <c r="F2886" s="3" t="s">
        <v>17</v>
      </c>
      <c r="G2886" s="3" t="s">
        <v>18</v>
      </c>
      <c r="H2886" s="3" t="s">
        <v>18</v>
      </c>
      <c r="I2886" s="3" t="s">
        <v>29</v>
      </c>
      <c r="J2886" s="3" t="s">
        <v>493</v>
      </c>
      <c r="K2886" s="3" t="s">
        <v>2154</v>
      </c>
      <c r="L2886" s="4">
        <v>0.2951388888888889</v>
      </c>
      <c r="M2886" s="3" t="s">
        <v>2182</v>
      </c>
      <c r="N2886" s="3" t="s">
        <v>24</v>
      </c>
      <c r="O2886" s="3" t="s">
        <v>25</v>
      </c>
    </row>
    <row r="2887" spans="1:15">
      <c r="A2887" s="3" t="s">
        <v>15</v>
      </c>
      <c r="B2887" s="3" t="str">
        <f>"FES1162743160"</f>
        <v>FES1162743160</v>
      </c>
      <c r="C2887" s="3" t="s">
        <v>1966</v>
      </c>
      <c r="D2887" s="3">
        <v>1</v>
      </c>
      <c r="E2887" s="3" t="str">
        <f>"2170734568"</f>
        <v>2170734568</v>
      </c>
      <c r="F2887" s="3" t="s">
        <v>17</v>
      </c>
      <c r="G2887" s="3" t="s">
        <v>18</v>
      </c>
      <c r="H2887" s="3" t="s">
        <v>100</v>
      </c>
      <c r="I2887" s="3" t="s">
        <v>101</v>
      </c>
      <c r="J2887" s="3" t="s">
        <v>265</v>
      </c>
      <c r="K2887" s="3" t="s">
        <v>2154</v>
      </c>
      <c r="L2887" s="4">
        <v>0.33124999999999999</v>
      </c>
      <c r="M2887" s="3" t="s">
        <v>938</v>
      </c>
      <c r="N2887" s="3" t="s">
        <v>24</v>
      </c>
      <c r="O2887" s="3" t="s">
        <v>25</v>
      </c>
    </row>
    <row r="2888" spans="1:15">
      <c r="A2888" s="3" t="s">
        <v>15</v>
      </c>
      <c r="B2888" s="3" t="str">
        <f>"FES1162743108"</f>
        <v>FES1162743108</v>
      </c>
      <c r="C2888" s="3" t="s">
        <v>1966</v>
      </c>
      <c r="D2888" s="3">
        <v>1</v>
      </c>
      <c r="E2888" s="3" t="str">
        <f>"2170734471"</f>
        <v>2170734471</v>
      </c>
      <c r="F2888" s="3" t="s">
        <v>17</v>
      </c>
      <c r="G2888" s="3" t="s">
        <v>18</v>
      </c>
      <c r="H2888" s="3" t="s">
        <v>18</v>
      </c>
      <c r="I2888" s="3" t="s">
        <v>171</v>
      </c>
      <c r="J2888" s="3" t="s">
        <v>1599</v>
      </c>
      <c r="K2888" s="3" t="s">
        <v>2154</v>
      </c>
      <c r="L2888" s="4">
        <v>0.34097222222222223</v>
      </c>
      <c r="M2888" s="3" t="s">
        <v>1664</v>
      </c>
      <c r="N2888" s="3" t="s">
        <v>24</v>
      </c>
      <c r="O2888" s="3" t="s">
        <v>25</v>
      </c>
    </row>
    <row r="2889" spans="1:15">
      <c r="A2889" s="3" t="s">
        <v>15</v>
      </c>
      <c r="B2889" s="3" t="str">
        <f>"FES1162743124"</f>
        <v>FES1162743124</v>
      </c>
      <c r="C2889" s="3" t="s">
        <v>1966</v>
      </c>
      <c r="D2889" s="3">
        <v>1</v>
      </c>
      <c r="E2889" s="3" t="str">
        <f>"2170734517"</f>
        <v>2170734517</v>
      </c>
      <c r="F2889" s="3" t="s">
        <v>17</v>
      </c>
      <c r="G2889" s="3" t="s">
        <v>18</v>
      </c>
      <c r="H2889" s="3" t="s">
        <v>18</v>
      </c>
      <c r="I2889" s="3" t="s">
        <v>33</v>
      </c>
      <c r="J2889" s="3" t="s">
        <v>34</v>
      </c>
      <c r="K2889" s="3" t="s">
        <v>2154</v>
      </c>
      <c r="L2889" s="4">
        <v>0.35694444444444445</v>
      </c>
      <c r="M2889" s="3" t="s">
        <v>1672</v>
      </c>
      <c r="N2889" s="3" t="s">
        <v>24</v>
      </c>
      <c r="O2889" s="3" t="s">
        <v>25</v>
      </c>
    </row>
    <row r="2890" spans="1:15">
      <c r="A2890" s="3" t="s">
        <v>15</v>
      </c>
      <c r="B2890" s="3" t="str">
        <f>"FES1162743131"</f>
        <v>FES1162743131</v>
      </c>
      <c r="C2890" s="3" t="s">
        <v>1966</v>
      </c>
      <c r="D2890" s="3">
        <v>1</v>
      </c>
      <c r="E2890" s="3" t="str">
        <f>"2170734505"</f>
        <v>2170734505</v>
      </c>
      <c r="F2890" s="3" t="s">
        <v>17</v>
      </c>
      <c r="G2890" s="3" t="s">
        <v>18</v>
      </c>
      <c r="H2890" s="3" t="s">
        <v>18</v>
      </c>
      <c r="I2890" s="3" t="s">
        <v>168</v>
      </c>
      <c r="J2890" s="3" t="s">
        <v>2026</v>
      </c>
      <c r="K2890" s="3" t="s">
        <v>2154</v>
      </c>
      <c r="L2890" s="4">
        <v>0.34166666666666662</v>
      </c>
      <c r="M2890" s="3" t="s">
        <v>2183</v>
      </c>
      <c r="N2890" s="3" t="s">
        <v>24</v>
      </c>
      <c r="O2890" s="3" t="s">
        <v>25</v>
      </c>
    </row>
    <row r="2891" spans="1:15">
      <c r="A2891" s="5" t="s">
        <v>15</v>
      </c>
      <c r="B2891" s="5" t="str">
        <f>"FES1162743179"</f>
        <v>FES1162743179</v>
      </c>
      <c r="C2891" s="5" t="s">
        <v>1966</v>
      </c>
      <c r="D2891" s="5">
        <v>1</v>
      </c>
      <c r="E2891" s="5" t="str">
        <f>"2170734594"</f>
        <v>2170734594</v>
      </c>
      <c r="F2891" s="5" t="s">
        <v>17</v>
      </c>
      <c r="G2891" s="5" t="s">
        <v>18</v>
      </c>
      <c r="H2891" s="5" t="s">
        <v>100</v>
      </c>
      <c r="I2891" s="5" t="s">
        <v>101</v>
      </c>
      <c r="J2891" s="5" t="s">
        <v>1427</v>
      </c>
      <c r="K2891" s="5" t="s">
        <v>2154</v>
      </c>
      <c r="L2891" s="6">
        <v>0.39374999999999999</v>
      </c>
      <c r="M2891" s="5" t="s">
        <v>2184</v>
      </c>
      <c r="N2891" s="5" t="s">
        <v>24</v>
      </c>
      <c r="O2891" s="5" t="s">
        <v>25</v>
      </c>
    </row>
    <row r="2892" spans="1:15">
      <c r="A2892" s="5" t="s">
        <v>15</v>
      </c>
      <c r="B2892" s="5" t="str">
        <f>"FES1162743178"</f>
        <v>FES1162743178</v>
      </c>
      <c r="C2892" s="5" t="s">
        <v>1966</v>
      </c>
      <c r="D2892" s="5">
        <v>1</v>
      </c>
      <c r="E2892" s="5" t="str">
        <f>"2170734593"</f>
        <v>2170734593</v>
      </c>
      <c r="F2892" s="5" t="s">
        <v>17</v>
      </c>
      <c r="G2892" s="5" t="s">
        <v>18</v>
      </c>
      <c r="H2892" s="5" t="s">
        <v>100</v>
      </c>
      <c r="I2892" s="5" t="s">
        <v>101</v>
      </c>
      <c r="J2892" s="5" t="s">
        <v>1427</v>
      </c>
      <c r="K2892" s="5" t="s">
        <v>2154</v>
      </c>
      <c r="L2892" s="6">
        <v>0.39374999999999999</v>
      </c>
      <c r="M2892" s="5" t="s">
        <v>2184</v>
      </c>
      <c r="N2892" s="5" t="s">
        <v>24</v>
      </c>
      <c r="O2892" s="5" t="s">
        <v>25</v>
      </c>
    </row>
    <row r="2893" spans="1:15">
      <c r="A2893" s="5" t="s">
        <v>15</v>
      </c>
      <c r="B2893" s="5" t="str">
        <f>"FES1162743167"</f>
        <v>FES1162743167</v>
      </c>
      <c r="C2893" s="5" t="s">
        <v>1966</v>
      </c>
      <c r="D2893" s="5">
        <v>1</v>
      </c>
      <c r="E2893" s="5" t="str">
        <f>"2170734582"</f>
        <v>2170734582</v>
      </c>
      <c r="F2893" s="5" t="s">
        <v>17</v>
      </c>
      <c r="G2893" s="5" t="s">
        <v>18</v>
      </c>
      <c r="H2893" s="5" t="s">
        <v>100</v>
      </c>
      <c r="I2893" s="5" t="s">
        <v>987</v>
      </c>
      <c r="J2893" s="5" t="s">
        <v>1965</v>
      </c>
      <c r="K2893" s="5" t="s">
        <v>2154</v>
      </c>
      <c r="L2893" s="6">
        <v>0.39374999999999999</v>
      </c>
      <c r="M2893" s="5" t="s">
        <v>2185</v>
      </c>
      <c r="N2893" s="5" t="s">
        <v>24</v>
      </c>
      <c r="O2893" s="5" t="s">
        <v>25</v>
      </c>
    </row>
    <row r="2894" spans="1:15">
      <c r="A2894" s="5" t="s">
        <v>15</v>
      </c>
      <c r="B2894" s="5" t="str">
        <f>"FES1162743127"</f>
        <v>FES1162743127</v>
      </c>
      <c r="C2894" s="5" t="s">
        <v>1966</v>
      </c>
      <c r="D2894" s="5">
        <v>1</v>
      </c>
      <c r="E2894" s="5" t="str">
        <f>"2170734523"</f>
        <v>2170734523</v>
      </c>
      <c r="F2894" s="5" t="s">
        <v>17</v>
      </c>
      <c r="G2894" s="5" t="s">
        <v>18</v>
      </c>
      <c r="H2894" s="5" t="s">
        <v>18</v>
      </c>
      <c r="I2894" s="5" t="s">
        <v>29</v>
      </c>
      <c r="J2894" s="5" t="s">
        <v>307</v>
      </c>
      <c r="K2894" s="5" t="s">
        <v>2154</v>
      </c>
      <c r="L2894" s="6">
        <v>0.35069444444444442</v>
      </c>
      <c r="M2894" s="5" t="s">
        <v>308</v>
      </c>
      <c r="N2894" s="5" t="s">
        <v>24</v>
      </c>
      <c r="O2894" s="5" t="s">
        <v>25</v>
      </c>
    </row>
    <row r="2895" spans="1:15">
      <c r="A2895" s="5" t="s">
        <v>15</v>
      </c>
      <c r="B2895" s="5" t="str">
        <f>"FES1162743162"</f>
        <v>FES1162743162</v>
      </c>
      <c r="C2895" s="5" t="s">
        <v>1966</v>
      </c>
      <c r="D2895" s="5">
        <v>1</v>
      </c>
      <c r="E2895" s="5" t="str">
        <f>"2170734571"</f>
        <v>2170734571</v>
      </c>
      <c r="F2895" s="5" t="s">
        <v>17</v>
      </c>
      <c r="G2895" s="5" t="s">
        <v>18</v>
      </c>
      <c r="H2895" s="5" t="s">
        <v>18</v>
      </c>
      <c r="I2895" s="5" t="s">
        <v>338</v>
      </c>
      <c r="J2895" s="5" t="s">
        <v>512</v>
      </c>
      <c r="K2895" s="5" t="s">
        <v>2154</v>
      </c>
      <c r="L2895" s="6">
        <v>0.37152777777777773</v>
      </c>
      <c r="M2895" s="5" t="s">
        <v>1872</v>
      </c>
      <c r="N2895" s="5" t="s">
        <v>24</v>
      </c>
      <c r="O2895" s="5" t="s">
        <v>25</v>
      </c>
    </row>
    <row r="2896" spans="1:15">
      <c r="A2896" s="5" t="s">
        <v>15</v>
      </c>
      <c r="B2896" s="5" t="str">
        <f>"FES1162743142"</f>
        <v>FES1162743142</v>
      </c>
      <c r="C2896" s="5" t="s">
        <v>1966</v>
      </c>
      <c r="D2896" s="5">
        <v>1</v>
      </c>
      <c r="E2896" s="5" t="str">
        <f>"2170734553"</f>
        <v>2170734553</v>
      </c>
      <c r="F2896" s="5" t="s">
        <v>17</v>
      </c>
      <c r="G2896" s="5" t="s">
        <v>18</v>
      </c>
      <c r="H2896" s="5" t="s">
        <v>40</v>
      </c>
      <c r="I2896" s="5" t="s">
        <v>431</v>
      </c>
      <c r="J2896" s="5" t="s">
        <v>2186</v>
      </c>
      <c r="K2896" s="5" t="s">
        <v>2154</v>
      </c>
      <c r="L2896" s="6">
        <v>0.39027777777777778</v>
      </c>
      <c r="M2896" s="5" t="s">
        <v>2187</v>
      </c>
      <c r="N2896" s="5" t="s">
        <v>24</v>
      </c>
      <c r="O2896" s="5" t="s">
        <v>25</v>
      </c>
    </row>
    <row r="2897" spans="1:15">
      <c r="A2897" s="5" t="s">
        <v>15</v>
      </c>
      <c r="B2897" s="5" t="str">
        <f>"FES1162743080"</f>
        <v>FES1162743080</v>
      </c>
      <c r="C2897" s="5" t="s">
        <v>1966</v>
      </c>
      <c r="D2897" s="5">
        <v>1</v>
      </c>
      <c r="E2897" s="5" t="str">
        <f>"2170734457"</f>
        <v>2170734457</v>
      </c>
      <c r="F2897" s="5" t="s">
        <v>17</v>
      </c>
      <c r="G2897" s="5" t="s">
        <v>18</v>
      </c>
      <c r="H2897" s="5" t="s">
        <v>18</v>
      </c>
      <c r="I2897" s="5" t="s">
        <v>222</v>
      </c>
      <c r="J2897" s="5" t="s">
        <v>397</v>
      </c>
      <c r="K2897" s="5" t="s">
        <v>2154</v>
      </c>
      <c r="L2897" s="6">
        <v>0.33680555555555558</v>
      </c>
      <c r="M2897" s="5" t="s">
        <v>2188</v>
      </c>
      <c r="N2897" s="5" t="s">
        <v>24</v>
      </c>
      <c r="O2897" s="5" t="s">
        <v>25</v>
      </c>
    </row>
    <row r="2898" spans="1:15">
      <c r="A2898" s="5" t="s">
        <v>15</v>
      </c>
      <c r="B2898" s="5" t="str">
        <f>"FES1162743088"</f>
        <v>FES1162743088</v>
      </c>
      <c r="C2898" s="5" t="s">
        <v>1966</v>
      </c>
      <c r="D2898" s="5">
        <v>1</v>
      </c>
      <c r="E2898" s="5" t="str">
        <f>"2170733854"</f>
        <v>2170733854</v>
      </c>
      <c r="F2898" s="5" t="s">
        <v>17</v>
      </c>
      <c r="G2898" s="5" t="s">
        <v>18</v>
      </c>
      <c r="H2898" s="5" t="s">
        <v>18</v>
      </c>
      <c r="I2898" s="5" t="s">
        <v>151</v>
      </c>
      <c r="J2898" s="5" t="s">
        <v>770</v>
      </c>
      <c r="K2898" s="5" t="s">
        <v>2154</v>
      </c>
      <c r="L2898" s="6">
        <v>0.33333333333333331</v>
      </c>
      <c r="M2898" s="5" t="s">
        <v>2189</v>
      </c>
      <c r="N2898" s="5" t="s">
        <v>24</v>
      </c>
      <c r="O2898" s="5" t="s">
        <v>25</v>
      </c>
    </row>
    <row r="2899" spans="1:15">
      <c r="A2899" s="3" t="s">
        <v>15</v>
      </c>
      <c r="B2899" s="3" t="str">
        <f>"FES1162743161"</f>
        <v>FES1162743161</v>
      </c>
      <c r="C2899" s="3" t="s">
        <v>1966</v>
      </c>
      <c r="D2899" s="3">
        <v>1</v>
      </c>
      <c r="E2899" s="3" t="str">
        <f>"2170734569"</f>
        <v>2170734569</v>
      </c>
      <c r="F2899" s="3" t="s">
        <v>17</v>
      </c>
      <c r="G2899" s="3" t="s">
        <v>18</v>
      </c>
      <c r="H2899" s="3" t="s">
        <v>18</v>
      </c>
      <c r="I2899" s="3" t="s">
        <v>33</v>
      </c>
      <c r="J2899" s="3" t="s">
        <v>1650</v>
      </c>
      <c r="K2899" s="3" t="s">
        <v>2154</v>
      </c>
      <c r="L2899" s="4">
        <v>0.31111111111111112</v>
      </c>
      <c r="M2899" s="3" t="s">
        <v>2190</v>
      </c>
      <c r="N2899" s="3" t="s">
        <v>24</v>
      </c>
      <c r="O2899" s="3" t="s">
        <v>25</v>
      </c>
    </row>
    <row r="2900" spans="1:15">
      <c r="A2900" s="3" t="s">
        <v>15</v>
      </c>
      <c r="B2900" s="3" t="str">
        <f>"FES1162743093"</f>
        <v>FES1162743093</v>
      </c>
      <c r="C2900" s="3" t="s">
        <v>1966</v>
      </c>
      <c r="D2900" s="3">
        <v>1</v>
      </c>
      <c r="E2900" s="3" t="str">
        <f>"2170734473"</f>
        <v>2170734473</v>
      </c>
      <c r="F2900" s="3" t="s">
        <v>17</v>
      </c>
      <c r="G2900" s="3" t="s">
        <v>18</v>
      </c>
      <c r="H2900" s="3" t="s">
        <v>18</v>
      </c>
      <c r="I2900" s="3" t="s">
        <v>171</v>
      </c>
      <c r="J2900" s="3" t="s">
        <v>2191</v>
      </c>
      <c r="K2900" s="3" t="s">
        <v>2154</v>
      </c>
      <c r="L2900" s="4">
        <v>0.34583333333333338</v>
      </c>
      <c r="M2900" s="3" t="s">
        <v>1663</v>
      </c>
      <c r="N2900" s="3" t="s">
        <v>24</v>
      </c>
      <c r="O2900" s="3" t="s">
        <v>25</v>
      </c>
    </row>
    <row r="2901" spans="1:15">
      <c r="A2901" s="3" t="s">
        <v>15</v>
      </c>
      <c r="B2901" s="3" t="str">
        <f>"FES1162743106"</f>
        <v>FES1162743106</v>
      </c>
      <c r="C2901" s="3" t="s">
        <v>1966</v>
      </c>
      <c r="D2901" s="3">
        <v>1</v>
      </c>
      <c r="E2901" s="3" t="str">
        <f>"2170734421"</f>
        <v>2170734421</v>
      </c>
      <c r="F2901" s="3" t="s">
        <v>17</v>
      </c>
      <c r="G2901" s="3" t="s">
        <v>18</v>
      </c>
      <c r="H2901" s="3" t="s">
        <v>18</v>
      </c>
      <c r="I2901" s="3" t="s">
        <v>180</v>
      </c>
      <c r="J2901" s="3" t="s">
        <v>856</v>
      </c>
      <c r="K2901" s="3" t="s">
        <v>2154</v>
      </c>
      <c r="L2901" s="4">
        <v>0.37083333333333335</v>
      </c>
      <c r="M2901" s="3" t="s">
        <v>1709</v>
      </c>
      <c r="N2901" s="3" t="s">
        <v>24</v>
      </c>
      <c r="O2901" s="3" t="s">
        <v>25</v>
      </c>
    </row>
    <row r="2902" spans="1:15">
      <c r="A2902" s="5" t="s">
        <v>15</v>
      </c>
      <c r="B2902" s="5" t="str">
        <f>"FES1162743170"</f>
        <v>FES1162743170</v>
      </c>
      <c r="C2902" s="5" t="s">
        <v>1966</v>
      </c>
      <c r="D2902" s="5">
        <v>1</v>
      </c>
      <c r="E2902" s="5" t="str">
        <f>"2170734586"</f>
        <v>2170734586</v>
      </c>
      <c r="F2902" s="5" t="s">
        <v>17</v>
      </c>
      <c r="G2902" s="5" t="s">
        <v>18</v>
      </c>
      <c r="H2902" s="5" t="s">
        <v>18</v>
      </c>
      <c r="I2902" s="5" t="s">
        <v>171</v>
      </c>
      <c r="J2902" s="5" t="s">
        <v>2192</v>
      </c>
      <c r="K2902" s="5" t="s">
        <v>2154</v>
      </c>
      <c r="L2902" s="6">
        <v>0.3354166666666667</v>
      </c>
      <c r="M2902" s="5" t="s">
        <v>2002</v>
      </c>
      <c r="N2902" s="5" t="s">
        <v>24</v>
      </c>
      <c r="O2902" s="5" t="s">
        <v>25</v>
      </c>
    </row>
    <row r="2903" spans="1:15">
      <c r="A2903" s="5" t="s">
        <v>15</v>
      </c>
      <c r="B2903" s="5" t="str">
        <f>"FES1162743202"</f>
        <v>FES1162743202</v>
      </c>
      <c r="C2903" s="5" t="s">
        <v>1966</v>
      </c>
      <c r="D2903" s="5">
        <v>1</v>
      </c>
      <c r="E2903" s="5" t="str">
        <f>"2170734623"</f>
        <v>2170734623</v>
      </c>
      <c r="F2903" s="5" t="s">
        <v>17</v>
      </c>
      <c r="G2903" s="5" t="s">
        <v>18</v>
      </c>
      <c r="H2903" s="5" t="s">
        <v>18</v>
      </c>
      <c r="I2903" s="5" t="s">
        <v>338</v>
      </c>
      <c r="J2903" s="5" t="s">
        <v>2193</v>
      </c>
      <c r="K2903" s="5" t="s">
        <v>2154</v>
      </c>
      <c r="L2903" s="6">
        <v>0.38750000000000001</v>
      </c>
      <c r="M2903" s="5" t="s">
        <v>2194</v>
      </c>
      <c r="N2903" s="5" t="s">
        <v>24</v>
      </c>
      <c r="O2903" s="5" t="s">
        <v>25</v>
      </c>
    </row>
    <row r="2904" spans="1:15">
      <c r="A2904" s="5" t="s">
        <v>15</v>
      </c>
      <c r="B2904" s="5" t="str">
        <f>"FES1162743194"</f>
        <v>FES1162743194</v>
      </c>
      <c r="C2904" s="5" t="s">
        <v>1966</v>
      </c>
      <c r="D2904" s="5">
        <v>1</v>
      </c>
      <c r="E2904" s="5" t="str">
        <f>"2170734611"</f>
        <v>2170734611</v>
      </c>
      <c r="F2904" s="5" t="s">
        <v>17</v>
      </c>
      <c r="G2904" s="5" t="s">
        <v>18</v>
      </c>
      <c r="H2904" s="5" t="s">
        <v>100</v>
      </c>
      <c r="I2904" s="5" t="s">
        <v>101</v>
      </c>
      <c r="J2904" s="5" t="s">
        <v>1217</v>
      </c>
      <c r="K2904" s="5" t="s">
        <v>2154</v>
      </c>
      <c r="L2904" s="6">
        <v>0.40347222222222223</v>
      </c>
      <c r="M2904" s="5" t="s">
        <v>2176</v>
      </c>
      <c r="N2904" s="5" t="s">
        <v>24</v>
      </c>
      <c r="O2904" s="5" t="s">
        <v>25</v>
      </c>
    </row>
    <row r="2905" spans="1:15">
      <c r="A2905" s="5" t="s">
        <v>15</v>
      </c>
      <c r="B2905" s="5" t="str">
        <f>"FES1162743185"</f>
        <v>FES1162743185</v>
      </c>
      <c r="C2905" s="5" t="s">
        <v>1966</v>
      </c>
      <c r="D2905" s="5">
        <v>1</v>
      </c>
      <c r="E2905" s="5" t="str">
        <f>"2170734601"</f>
        <v>2170734601</v>
      </c>
      <c r="F2905" s="5" t="s">
        <v>17</v>
      </c>
      <c r="G2905" s="5" t="s">
        <v>18</v>
      </c>
      <c r="H2905" s="5" t="s">
        <v>100</v>
      </c>
      <c r="I2905" s="5" t="s">
        <v>262</v>
      </c>
      <c r="J2905" s="5" t="s">
        <v>409</v>
      </c>
      <c r="K2905" s="5" t="s">
        <v>2154</v>
      </c>
      <c r="L2905" s="6">
        <v>0.40347222222222223</v>
      </c>
      <c r="M2905" s="5" t="s">
        <v>1822</v>
      </c>
      <c r="N2905" s="5" t="s">
        <v>24</v>
      </c>
      <c r="O2905" s="5" t="s">
        <v>25</v>
      </c>
    </row>
    <row r="2906" spans="1:15">
      <c r="A2906" s="5" t="s">
        <v>15</v>
      </c>
      <c r="B2906" s="5" t="str">
        <f>"FES1162743208"</f>
        <v>FES1162743208</v>
      </c>
      <c r="C2906" s="5" t="s">
        <v>1966</v>
      </c>
      <c r="D2906" s="5">
        <v>1</v>
      </c>
      <c r="E2906" s="5" t="str">
        <f>"2170734636"</f>
        <v>2170734636</v>
      </c>
      <c r="F2906" s="5" t="s">
        <v>17</v>
      </c>
      <c r="G2906" s="5" t="s">
        <v>18</v>
      </c>
      <c r="H2906" s="5" t="s">
        <v>18</v>
      </c>
      <c r="I2906" s="5" t="s">
        <v>171</v>
      </c>
      <c r="J2906" s="5" t="s">
        <v>353</v>
      </c>
      <c r="K2906" s="5" t="s">
        <v>2154</v>
      </c>
      <c r="L2906" s="6">
        <v>0.2986111111111111</v>
      </c>
      <c r="M2906" s="5" t="s">
        <v>1713</v>
      </c>
      <c r="N2906" s="5" t="s">
        <v>24</v>
      </c>
      <c r="O2906" s="5" t="s">
        <v>25</v>
      </c>
    </row>
    <row r="2907" spans="1:15">
      <c r="A2907" s="5" t="s">
        <v>15</v>
      </c>
      <c r="B2907" s="5" t="str">
        <f>"FES1162743177"</f>
        <v>FES1162743177</v>
      </c>
      <c r="C2907" s="5" t="s">
        <v>1966</v>
      </c>
      <c r="D2907" s="5">
        <v>1</v>
      </c>
      <c r="E2907" s="5" t="str">
        <f>"2170734592"</f>
        <v>2170734592</v>
      </c>
      <c r="F2907" s="5" t="s">
        <v>17</v>
      </c>
      <c r="G2907" s="5" t="s">
        <v>18</v>
      </c>
      <c r="H2907" s="5" t="s">
        <v>18</v>
      </c>
      <c r="I2907" s="5" t="s">
        <v>151</v>
      </c>
      <c r="J2907" s="5" t="s">
        <v>766</v>
      </c>
      <c r="K2907" s="5" t="s">
        <v>2154</v>
      </c>
      <c r="L2907" s="6">
        <v>0.35416666666666669</v>
      </c>
      <c r="M2907" s="5" t="s">
        <v>767</v>
      </c>
      <c r="N2907" s="5" t="s">
        <v>24</v>
      </c>
      <c r="O2907" s="5" t="s">
        <v>25</v>
      </c>
    </row>
    <row r="2908" spans="1:15">
      <c r="A2908" s="5" t="s">
        <v>15</v>
      </c>
      <c r="B2908" s="5" t="str">
        <f>"FES1162743196"</f>
        <v>FES1162743196</v>
      </c>
      <c r="C2908" s="5" t="s">
        <v>1966</v>
      </c>
      <c r="D2908" s="5">
        <v>1</v>
      </c>
      <c r="E2908" s="5" t="str">
        <f>"2170734613"</f>
        <v>2170734613</v>
      </c>
      <c r="F2908" s="5" t="s">
        <v>17</v>
      </c>
      <c r="G2908" s="5" t="s">
        <v>18</v>
      </c>
      <c r="H2908" s="5" t="s">
        <v>18</v>
      </c>
      <c r="I2908" s="5" t="s">
        <v>29</v>
      </c>
      <c r="J2908" s="5" t="s">
        <v>679</v>
      </c>
      <c r="K2908" s="5" t="s">
        <v>2154</v>
      </c>
      <c r="L2908" s="6">
        <v>0.3125</v>
      </c>
      <c r="M2908" s="5" t="s">
        <v>1336</v>
      </c>
      <c r="N2908" s="5" t="s">
        <v>24</v>
      </c>
      <c r="O2908" s="5" t="s">
        <v>25</v>
      </c>
    </row>
    <row r="2909" spans="1:15">
      <c r="A2909" s="5" t="s">
        <v>15</v>
      </c>
      <c r="B2909" s="5" t="str">
        <f>"FES1162743107"</f>
        <v>FES1162743107</v>
      </c>
      <c r="C2909" s="5" t="s">
        <v>1966</v>
      </c>
      <c r="D2909" s="5">
        <v>1</v>
      </c>
      <c r="E2909" s="5" t="str">
        <f>"2170734468"</f>
        <v>2170734468</v>
      </c>
      <c r="F2909" s="5" t="s">
        <v>17</v>
      </c>
      <c r="G2909" s="5" t="s">
        <v>18</v>
      </c>
      <c r="H2909" s="5" t="s">
        <v>18</v>
      </c>
      <c r="I2909" s="5" t="s">
        <v>180</v>
      </c>
      <c r="J2909" s="5" t="s">
        <v>405</v>
      </c>
      <c r="K2909" s="5" t="s">
        <v>2154</v>
      </c>
      <c r="L2909" s="6">
        <v>0.33333333333333331</v>
      </c>
      <c r="M2909" s="5" t="s">
        <v>2195</v>
      </c>
      <c r="N2909" s="5" t="s">
        <v>24</v>
      </c>
      <c r="O2909" s="5" t="s">
        <v>25</v>
      </c>
    </row>
    <row r="2910" spans="1:15">
      <c r="A2910" s="3" t="s">
        <v>15</v>
      </c>
      <c r="B2910" s="3" t="str">
        <f>"FES1162743195"</f>
        <v>FES1162743195</v>
      </c>
      <c r="C2910" s="3" t="s">
        <v>1966</v>
      </c>
      <c r="D2910" s="3">
        <v>1</v>
      </c>
      <c r="E2910" s="3" t="str">
        <f>"2170734612"</f>
        <v>2170734612</v>
      </c>
      <c r="F2910" s="3" t="s">
        <v>17</v>
      </c>
      <c r="G2910" s="3" t="s">
        <v>18</v>
      </c>
      <c r="H2910" s="3" t="s">
        <v>100</v>
      </c>
      <c r="I2910" s="3" t="s">
        <v>101</v>
      </c>
      <c r="J2910" s="3" t="s">
        <v>131</v>
      </c>
      <c r="K2910" s="3" t="s">
        <v>2154</v>
      </c>
      <c r="L2910" s="4">
        <v>0.35902777777777778</v>
      </c>
      <c r="M2910" s="3" t="s">
        <v>132</v>
      </c>
      <c r="N2910" s="3" t="s">
        <v>24</v>
      </c>
      <c r="O2910" s="3" t="s">
        <v>25</v>
      </c>
    </row>
    <row r="2911" spans="1:15">
      <c r="A2911" s="3" t="s">
        <v>15</v>
      </c>
      <c r="B2911" s="3" t="str">
        <f>"FES1162743214"</f>
        <v>FES1162743214</v>
      </c>
      <c r="C2911" s="3" t="s">
        <v>1966</v>
      </c>
      <c r="D2911" s="3">
        <v>1</v>
      </c>
      <c r="E2911" s="3" t="str">
        <f>"2170734644"</f>
        <v>2170734644</v>
      </c>
      <c r="F2911" s="3" t="s">
        <v>17</v>
      </c>
      <c r="G2911" s="3" t="s">
        <v>18</v>
      </c>
      <c r="H2911" s="3" t="s">
        <v>18</v>
      </c>
      <c r="I2911" s="3" t="s">
        <v>29</v>
      </c>
      <c r="J2911" s="3" t="s">
        <v>618</v>
      </c>
      <c r="K2911" s="3" t="s">
        <v>2154</v>
      </c>
      <c r="L2911" s="4">
        <v>0.3263888888888889</v>
      </c>
      <c r="M2911" s="3" t="s">
        <v>619</v>
      </c>
      <c r="N2911" s="3" t="s">
        <v>24</v>
      </c>
      <c r="O2911" s="3" t="s">
        <v>25</v>
      </c>
    </row>
    <row r="2912" spans="1:15">
      <c r="A2912" s="3" t="s">
        <v>15</v>
      </c>
      <c r="B2912" s="3" t="str">
        <f>"FES1162743206"</f>
        <v>FES1162743206</v>
      </c>
      <c r="C2912" s="3" t="s">
        <v>1966</v>
      </c>
      <c r="D2912" s="3">
        <v>1</v>
      </c>
      <c r="E2912" s="3" t="str">
        <f>"2170734621"</f>
        <v>2170734621</v>
      </c>
      <c r="F2912" s="3" t="s">
        <v>17</v>
      </c>
      <c r="G2912" s="3" t="s">
        <v>18</v>
      </c>
      <c r="H2912" s="3" t="s">
        <v>36</v>
      </c>
      <c r="I2912" s="3" t="s">
        <v>37</v>
      </c>
      <c r="J2912" s="3" t="s">
        <v>2125</v>
      </c>
      <c r="K2912" s="3" t="s">
        <v>2154</v>
      </c>
      <c r="L2912" s="4">
        <v>0.37083333333333335</v>
      </c>
      <c r="M2912" s="3" t="s">
        <v>2196</v>
      </c>
      <c r="N2912" s="3" t="s">
        <v>24</v>
      </c>
      <c r="O2912" s="3" t="s">
        <v>25</v>
      </c>
    </row>
    <row r="2913" spans="1:15">
      <c r="A2913" s="3" t="s">
        <v>15</v>
      </c>
      <c r="B2913" s="3" t="str">
        <f>"FES1162743190"</f>
        <v>FES1162743190</v>
      </c>
      <c r="C2913" s="3" t="s">
        <v>1966</v>
      </c>
      <c r="D2913" s="3">
        <v>1</v>
      </c>
      <c r="E2913" s="3" t="str">
        <f>"2170734605"</f>
        <v>2170734605</v>
      </c>
      <c r="F2913" s="3" t="s">
        <v>17</v>
      </c>
      <c r="G2913" s="3" t="s">
        <v>18</v>
      </c>
      <c r="H2913" s="3" t="s">
        <v>18</v>
      </c>
      <c r="I2913" s="3" t="s">
        <v>33</v>
      </c>
      <c r="J2913" s="3" t="s">
        <v>34</v>
      </c>
      <c r="K2913" s="3" t="s">
        <v>2154</v>
      </c>
      <c r="L2913" s="4">
        <v>0.35694444444444445</v>
      </c>
      <c r="M2913" s="3" t="s">
        <v>444</v>
      </c>
      <c r="N2913" s="3" t="s">
        <v>24</v>
      </c>
      <c r="O2913" s="3" t="s">
        <v>25</v>
      </c>
    </row>
    <row r="2914" spans="1:15">
      <c r="A2914" s="3" t="s">
        <v>15</v>
      </c>
      <c r="B2914" s="3" t="str">
        <f>"FES1162743184"</f>
        <v>FES1162743184</v>
      </c>
      <c r="C2914" s="3" t="s">
        <v>1966</v>
      </c>
      <c r="D2914" s="3">
        <v>1</v>
      </c>
      <c r="E2914" s="3" t="str">
        <f>"2170734600"</f>
        <v>2170734600</v>
      </c>
      <c r="F2914" s="3" t="s">
        <v>17</v>
      </c>
      <c r="G2914" s="3" t="s">
        <v>18</v>
      </c>
      <c r="H2914" s="3" t="s">
        <v>70</v>
      </c>
      <c r="I2914" s="3" t="s">
        <v>71</v>
      </c>
      <c r="J2914" s="3" t="s">
        <v>1184</v>
      </c>
      <c r="K2914" s="3" t="s">
        <v>2154</v>
      </c>
      <c r="L2914" s="4">
        <v>0.3972222222222222</v>
      </c>
      <c r="M2914" s="3" t="s">
        <v>1185</v>
      </c>
      <c r="N2914" s="3" t="s">
        <v>24</v>
      </c>
      <c r="O2914" s="3" t="s">
        <v>25</v>
      </c>
    </row>
    <row r="2915" spans="1:15">
      <c r="A2915" s="5" t="s">
        <v>15</v>
      </c>
      <c r="B2915" s="5" t="str">
        <f>"FES1162743187"</f>
        <v>FES1162743187</v>
      </c>
      <c r="C2915" s="5" t="s">
        <v>1966</v>
      </c>
      <c r="D2915" s="5">
        <v>1</v>
      </c>
      <c r="E2915" s="5" t="str">
        <f>"2170734603"</f>
        <v>2170734603</v>
      </c>
      <c r="F2915" s="5" t="s">
        <v>17</v>
      </c>
      <c r="G2915" s="5" t="s">
        <v>18</v>
      </c>
      <c r="H2915" s="5" t="s">
        <v>19</v>
      </c>
      <c r="I2915" s="5" t="s">
        <v>20</v>
      </c>
      <c r="J2915" s="5" t="s">
        <v>56</v>
      </c>
      <c r="K2915" s="5" t="s">
        <v>2154</v>
      </c>
      <c r="L2915" s="6">
        <v>0.37152777777777773</v>
      </c>
      <c r="M2915" s="5" t="s">
        <v>259</v>
      </c>
      <c r="N2915" s="5" t="s">
        <v>24</v>
      </c>
      <c r="O2915" s="5" t="s">
        <v>25</v>
      </c>
    </row>
    <row r="2916" spans="1:15">
      <c r="A2916" s="5" t="s">
        <v>15</v>
      </c>
      <c r="B2916" s="5" t="str">
        <f>"FES1162743182"</f>
        <v>FES1162743182</v>
      </c>
      <c r="C2916" s="5" t="s">
        <v>1966</v>
      </c>
      <c r="D2916" s="5">
        <v>1</v>
      </c>
      <c r="E2916" s="5" t="str">
        <f>"2170734595"</f>
        <v>2170734595</v>
      </c>
      <c r="F2916" s="5" t="s">
        <v>17</v>
      </c>
      <c r="G2916" s="5" t="s">
        <v>18</v>
      </c>
      <c r="H2916" s="5" t="s">
        <v>70</v>
      </c>
      <c r="I2916" s="5" t="s">
        <v>71</v>
      </c>
      <c r="J2916" s="5" t="s">
        <v>248</v>
      </c>
      <c r="K2916" s="5" t="s">
        <v>2154</v>
      </c>
      <c r="L2916" s="6">
        <v>0.39583333333333331</v>
      </c>
      <c r="M2916" s="5" t="s">
        <v>929</v>
      </c>
      <c r="N2916" s="5" t="s">
        <v>24</v>
      </c>
      <c r="O2916" s="5" t="s">
        <v>25</v>
      </c>
    </row>
    <row r="2917" spans="1:15">
      <c r="A2917" s="5" t="s">
        <v>15</v>
      </c>
      <c r="B2917" s="5" t="str">
        <f>"FES1162743141"</f>
        <v>FES1162743141</v>
      </c>
      <c r="C2917" s="5" t="s">
        <v>1966</v>
      </c>
      <c r="D2917" s="5">
        <v>1</v>
      </c>
      <c r="E2917" s="5" t="str">
        <f>"217073552"</f>
        <v>217073552</v>
      </c>
      <c r="F2917" s="5" t="s">
        <v>17</v>
      </c>
      <c r="G2917" s="5" t="s">
        <v>18</v>
      </c>
      <c r="H2917" s="5" t="s">
        <v>19</v>
      </c>
      <c r="I2917" s="5" t="s">
        <v>445</v>
      </c>
      <c r="J2917" s="5" t="s">
        <v>446</v>
      </c>
      <c r="K2917" s="5" t="s">
        <v>2154</v>
      </c>
      <c r="L2917" s="6">
        <v>0.4375</v>
      </c>
      <c r="M2917" s="5" t="s">
        <v>2197</v>
      </c>
      <c r="N2917" s="5" t="s">
        <v>24</v>
      </c>
      <c r="O2917" s="5" t="s">
        <v>25</v>
      </c>
    </row>
    <row r="2918" spans="1:15">
      <c r="A2918" s="5" t="s">
        <v>15</v>
      </c>
      <c r="B2918" s="5" t="str">
        <f>"FES1162743164"</f>
        <v>FES1162743164</v>
      </c>
      <c r="C2918" s="5" t="s">
        <v>1966</v>
      </c>
      <c r="D2918" s="5">
        <v>1</v>
      </c>
      <c r="E2918" s="5" t="str">
        <f>"2170734576"</f>
        <v>2170734576</v>
      </c>
      <c r="F2918" s="5" t="s">
        <v>17</v>
      </c>
      <c r="G2918" s="5" t="s">
        <v>18</v>
      </c>
      <c r="H2918" s="5" t="s">
        <v>19</v>
      </c>
      <c r="I2918" s="5" t="s">
        <v>1241</v>
      </c>
      <c r="J2918" s="5" t="s">
        <v>2198</v>
      </c>
      <c r="K2918" s="5" t="s">
        <v>2154</v>
      </c>
      <c r="L2918" s="6">
        <v>0.4375</v>
      </c>
      <c r="M2918" s="5" t="s">
        <v>2199</v>
      </c>
      <c r="N2918" s="5" t="s">
        <v>24</v>
      </c>
      <c r="O2918" s="5" t="s">
        <v>25</v>
      </c>
    </row>
    <row r="2919" spans="1:15">
      <c r="A2919" s="5" t="s">
        <v>15</v>
      </c>
      <c r="B2919" s="5" t="str">
        <f>"FES1162743222"</f>
        <v>FES1162743222</v>
      </c>
      <c r="C2919" s="5" t="s">
        <v>1966</v>
      </c>
      <c r="D2919" s="5">
        <v>1</v>
      </c>
      <c r="E2919" s="5" t="str">
        <f>"2170734653"</f>
        <v>2170734653</v>
      </c>
      <c r="F2919" s="5" t="s">
        <v>17</v>
      </c>
      <c r="G2919" s="5" t="s">
        <v>18</v>
      </c>
      <c r="H2919" s="5" t="s">
        <v>18</v>
      </c>
      <c r="I2919" s="5" t="s">
        <v>33</v>
      </c>
      <c r="J2919" s="5" t="s">
        <v>229</v>
      </c>
      <c r="K2919" s="5" t="s">
        <v>2154</v>
      </c>
      <c r="L2919" s="6">
        <v>0.41666666666666669</v>
      </c>
      <c r="M2919" s="5" t="s">
        <v>1934</v>
      </c>
      <c r="N2919" s="5" t="s">
        <v>24</v>
      </c>
      <c r="O2919" s="5" t="s">
        <v>25</v>
      </c>
    </row>
    <row r="2920" spans="1:15">
      <c r="A2920" s="5" t="s">
        <v>15</v>
      </c>
      <c r="B2920" s="5" t="str">
        <f>"FES1162743210"</f>
        <v>FES1162743210</v>
      </c>
      <c r="C2920" s="5" t="s">
        <v>1966</v>
      </c>
      <c r="D2920" s="5">
        <v>1</v>
      </c>
      <c r="E2920" s="5" t="str">
        <f>"2170734638"</f>
        <v>2170734638</v>
      </c>
      <c r="F2920" s="5" t="s">
        <v>17</v>
      </c>
      <c r="G2920" s="5" t="s">
        <v>18</v>
      </c>
      <c r="H2920" s="5" t="s">
        <v>18</v>
      </c>
      <c r="I2920" s="5" t="s">
        <v>184</v>
      </c>
      <c r="J2920" s="5" t="s">
        <v>185</v>
      </c>
      <c r="K2920" s="5" t="s">
        <v>2154</v>
      </c>
      <c r="L2920" s="6">
        <v>0.25</v>
      </c>
      <c r="M2920" s="5" t="s">
        <v>268</v>
      </c>
      <c r="N2920" s="5" t="s">
        <v>24</v>
      </c>
      <c r="O2920" s="5" t="s">
        <v>25</v>
      </c>
    </row>
    <row r="2921" spans="1:15">
      <c r="A2921" s="5" t="s">
        <v>15</v>
      </c>
      <c r="B2921" s="5" t="str">
        <f>"FES1162743221"</f>
        <v>FES1162743221</v>
      </c>
      <c r="C2921" s="5" t="s">
        <v>1966</v>
      </c>
      <c r="D2921" s="5">
        <v>1</v>
      </c>
      <c r="E2921" s="5" t="str">
        <f>"2170734652"</f>
        <v>2170734652</v>
      </c>
      <c r="F2921" s="5" t="s">
        <v>17</v>
      </c>
      <c r="G2921" s="5" t="s">
        <v>18</v>
      </c>
      <c r="H2921" s="5" t="s">
        <v>46</v>
      </c>
      <c r="I2921" s="5" t="s">
        <v>47</v>
      </c>
      <c r="J2921" s="5" t="s">
        <v>48</v>
      </c>
      <c r="K2921" s="5" t="s">
        <v>2154</v>
      </c>
      <c r="L2921" s="6">
        <v>0.39305555555555555</v>
      </c>
      <c r="M2921" s="5" t="s">
        <v>1508</v>
      </c>
      <c r="N2921" s="5" t="s">
        <v>24</v>
      </c>
      <c r="O2921" s="5" t="s">
        <v>25</v>
      </c>
    </row>
    <row r="2922" spans="1:15">
      <c r="A2922" s="5" t="s">
        <v>15</v>
      </c>
      <c r="B2922" s="5" t="str">
        <f>"FES1162743213"</f>
        <v>FES1162743213</v>
      </c>
      <c r="C2922" s="5" t="s">
        <v>1966</v>
      </c>
      <c r="D2922" s="5">
        <v>1</v>
      </c>
      <c r="E2922" s="5" t="str">
        <f>"2170734643"</f>
        <v>2170734643</v>
      </c>
      <c r="F2922" s="5" t="s">
        <v>17</v>
      </c>
      <c r="G2922" s="5" t="s">
        <v>18</v>
      </c>
      <c r="H2922" s="5" t="s">
        <v>100</v>
      </c>
      <c r="I2922" s="5" t="s">
        <v>101</v>
      </c>
      <c r="J2922" s="5" t="s">
        <v>131</v>
      </c>
      <c r="K2922" s="5" t="s">
        <v>2154</v>
      </c>
      <c r="L2922" s="6">
        <v>0.35972222222222222</v>
      </c>
      <c r="M2922" s="5" t="s">
        <v>132</v>
      </c>
      <c r="N2922" s="5" t="s">
        <v>24</v>
      </c>
      <c r="O2922" s="5" t="s">
        <v>25</v>
      </c>
    </row>
    <row r="2923" spans="1:15">
      <c r="A2923" s="5" t="s">
        <v>15</v>
      </c>
      <c r="B2923" s="5" t="str">
        <f>"FES1162743212"</f>
        <v>FES1162743212</v>
      </c>
      <c r="C2923" s="5" t="s">
        <v>1966</v>
      </c>
      <c r="D2923" s="5">
        <v>1</v>
      </c>
      <c r="E2923" s="5" t="str">
        <f>"2170734640"</f>
        <v>2170734640</v>
      </c>
      <c r="F2923" s="5" t="s">
        <v>17</v>
      </c>
      <c r="G2923" s="5" t="s">
        <v>18</v>
      </c>
      <c r="H2923" s="5" t="s">
        <v>100</v>
      </c>
      <c r="I2923" s="5" t="s">
        <v>262</v>
      </c>
      <c r="J2923" s="5" t="s">
        <v>409</v>
      </c>
      <c r="K2923" s="5" t="s">
        <v>2154</v>
      </c>
      <c r="L2923" s="6">
        <v>0.35972222222222222</v>
      </c>
      <c r="M2923" s="5" t="s">
        <v>1822</v>
      </c>
      <c r="N2923" s="5" t="s">
        <v>24</v>
      </c>
      <c r="O2923" s="5" t="s">
        <v>25</v>
      </c>
    </row>
    <row r="2924" spans="1:15">
      <c r="A2924" s="5" t="s">
        <v>15</v>
      </c>
      <c r="B2924" s="5" t="str">
        <f>"FES1162743211"</f>
        <v>FES1162743211</v>
      </c>
      <c r="C2924" s="5" t="s">
        <v>1966</v>
      </c>
      <c r="D2924" s="5">
        <v>1</v>
      </c>
      <c r="E2924" s="5" t="str">
        <f>"2170734641"</f>
        <v>2170734641</v>
      </c>
      <c r="F2924" s="5" t="s">
        <v>17</v>
      </c>
      <c r="G2924" s="5" t="s">
        <v>18</v>
      </c>
      <c r="H2924" s="5" t="s">
        <v>19</v>
      </c>
      <c r="I2924" s="5" t="s">
        <v>20</v>
      </c>
      <c r="J2924" s="5" t="s">
        <v>84</v>
      </c>
      <c r="K2924" s="5" t="s">
        <v>2154</v>
      </c>
      <c r="L2924" s="6">
        <v>0.3923611111111111</v>
      </c>
      <c r="M2924" s="5" t="s">
        <v>85</v>
      </c>
      <c r="N2924" s="5" t="s">
        <v>24</v>
      </c>
      <c r="O2924" s="5" t="s">
        <v>25</v>
      </c>
    </row>
    <row r="2925" spans="1:15">
      <c r="A2925" s="5" t="s">
        <v>15</v>
      </c>
      <c r="B2925" s="5" t="str">
        <f>"FES1162743218"</f>
        <v>FES1162743218</v>
      </c>
      <c r="C2925" s="5" t="s">
        <v>1966</v>
      </c>
      <c r="D2925" s="5">
        <v>1</v>
      </c>
      <c r="E2925" s="5" t="str">
        <f>"2170734649"</f>
        <v>2170734649</v>
      </c>
      <c r="F2925" s="5" t="s">
        <v>17</v>
      </c>
      <c r="G2925" s="5" t="s">
        <v>18</v>
      </c>
      <c r="H2925" s="5" t="s">
        <v>19</v>
      </c>
      <c r="I2925" s="5" t="s">
        <v>51</v>
      </c>
      <c r="J2925" s="5" t="s">
        <v>2200</v>
      </c>
      <c r="K2925" s="5" t="s">
        <v>2154</v>
      </c>
      <c r="L2925" s="6">
        <v>0.38958333333333334</v>
      </c>
      <c r="M2925" s="5" t="s">
        <v>2201</v>
      </c>
      <c r="N2925" s="5" t="s">
        <v>24</v>
      </c>
      <c r="O2925" s="5" t="s">
        <v>25</v>
      </c>
    </row>
    <row r="2926" spans="1:15">
      <c r="A2926" s="5" t="s">
        <v>15</v>
      </c>
      <c r="B2926" s="5" t="str">
        <f>"FES1162743232"</f>
        <v>FES1162743232</v>
      </c>
      <c r="C2926" s="5" t="s">
        <v>1966</v>
      </c>
      <c r="D2926" s="5">
        <v>1</v>
      </c>
      <c r="E2926" s="5" t="str">
        <f>"21707834665"</f>
        <v>21707834665</v>
      </c>
      <c r="F2926" s="5" t="s">
        <v>528</v>
      </c>
      <c r="G2926" s="5" t="s">
        <v>948</v>
      </c>
      <c r="H2926" s="5" t="s">
        <v>19</v>
      </c>
      <c r="I2926" s="5" t="s">
        <v>20</v>
      </c>
      <c r="J2926" s="5" t="s">
        <v>56</v>
      </c>
      <c r="K2926" s="5" t="s">
        <v>2154</v>
      </c>
      <c r="L2926" s="6">
        <v>0.56597222222222221</v>
      </c>
      <c r="M2926" s="5" t="s">
        <v>57</v>
      </c>
      <c r="N2926" s="5" t="s">
        <v>24</v>
      </c>
      <c r="O2926" s="5" t="s">
        <v>317</v>
      </c>
    </row>
    <row r="2927" spans="1:15">
      <c r="A2927" s="3" t="s">
        <v>15</v>
      </c>
      <c r="B2927" s="3" t="str">
        <f>"FES1162743201"</f>
        <v>FES1162743201</v>
      </c>
      <c r="C2927" s="3" t="s">
        <v>1966</v>
      </c>
      <c r="D2927" s="3">
        <v>1</v>
      </c>
      <c r="E2927" s="3" t="str">
        <f>"2170734619"</f>
        <v>2170734619</v>
      </c>
      <c r="F2927" s="3" t="s">
        <v>17</v>
      </c>
      <c r="G2927" s="3" t="s">
        <v>18</v>
      </c>
      <c r="H2927" s="3" t="s">
        <v>19</v>
      </c>
      <c r="I2927" s="3" t="s">
        <v>236</v>
      </c>
      <c r="J2927" s="3" t="s">
        <v>257</v>
      </c>
      <c r="K2927" s="3" t="s">
        <v>2154</v>
      </c>
      <c r="L2927" s="4">
        <v>0.33055555555555555</v>
      </c>
      <c r="M2927" s="3" t="s">
        <v>819</v>
      </c>
      <c r="N2927" s="3" t="s">
        <v>24</v>
      </c>
      <c r="O2927" s="3" t="s">
        <v>25</v>
      </c>
    </row>
    <row r="2928" spans="1:15">
      <c r="A2928" s="3" t="s">
        <v>15</v>
      </c>
      <c r="B2928" s="3" t="str">
        <f>"FES1162743197"</f>
        <v>FES1162743197</v>
      </c>
      <c r="C2928" s="3" t="s">
        <v>1966</v>
      </c>
      <c r="D2928" s="3">
        <v>1</v>
      </c>
      <c r="E2928" s="3" t="str">
        <f>"2170734615"</f>
        <v>2170734615</v>
      </c>
      <c r="F2928" s="3" t="s">
        <v>17</v>
      </c>
      <c r="G2928" s="3" t="s">
        <v>18</v>
      </c>
      <c r="H2928" s="3" t="s">
        <v>849</v>
      </c>
      <c r="I2928" s="3" t="s">
        <v>850</v>
      </c>
      <c r="J2928" s="3" t="s">
        <v>2202</v>
      </c>
      <c r="K2928" s="3" t="s">
        <v>2154</v>
      </c>
      <c r="L2928" s="4">
        <v>0.48958333333333331</v>
      </c>
      <c r="M2928" s="3" t="s">
        <v>2203</v>
      </c>
      <c r="N2928" s="3" t="s">
        <v>24</v>
      </c>
      <c r="O2928" s="3" t="s">
        <v>25</v>
      </c>
    </row>
    <row r="2929" spans="1:15">
      <c r="A2929" s="3" t="s">
        <v>15</v>
      </c>
      <c r="B2929" s="3" t="str">
        <f>"FES1162743200"</f>
        <v>FES1162743200</v>
      </c>
      <c r="C2929" s="3" t="s">
        <v>1966</v>
      </c>
      <c r="D2929" s="3">
        <v>1</v>
      </c>
      <c r="E2929" s="3" t="str">
        <f>"2170734618"</f>
        <v>2170734618</v>
      </c>
      <c r="F2929" s="3" t="s">
        <v>17</v>
      </c>
      <c r="G2929" s="3" t="s">
        <v>18</v>
      </c>
      <c r="H2929" s="3" t="s">
        <v>19</v>
      </c>
      <c r="I2929" s="3" t="s">
        <v>20</v>
      </c>
      <c r="J2929" s="3" t="s">
        <v>21</v>
      </c>
      <c r="K2929" s="3" t="s">
        <v>2154</v>
      </c>
      <c r="L2929" s="4">
        <v>0.34722222222222227</v>
      </c>
      <c r="M2929" s="3" t="s">
        <v>45</v>
      </c>
      <c r="N2929" s="3" t="s">
        <v>24</v>
      </c>
      <c r="O2929" s="3" t="s">
        <v>25</v>
      </c>
    </row>
    <row r="2930" spans="1:15">
      <c r="A2930" s="7" t="s">
        <v>15</v>
      </c>
      <c r="B2930" s="7" t="str">
        <f>"FES1162743233"</f>
        <v>FES1162743233</v>
      </c>
      <c r="C2930" s="7" t="s">
        <v>1966</v>
      </c>
      <c r="D2930" s="7">
        <v>1</v>
      </c>
      <c r="E2930" s="7" t="str">
        <f>"2170734669"</f>
        <v>2170734669</v>
      </c>
      <c r="F2930" s="7" t="s">
        <v>17</v>
      </c>
      <c r="G2930" s="7" t="s">
        <v>18</v>
      </c>
      <c r="H2930" s="7" t="s">
        <v>18</v>
      </c>
      <c r="I2930" s="7" t="s">
        <v>29</v>
      </c>
      <c r="J2930" s="7" t="s">
        <v>543</v>
      </c>
      <c r="K2930" s="7" t="s">
        <v>447</v>
      </c>
      <c r="L2930" s="7"/>
      <c r="M2930" s="7" t="s">
        <v>448</v>
      </c>
      <c r="N2930" s="7" t="s">
        <v>2204</v>
      </c>
      <c r="O2930" s="7" t="s">
        <v>2204</v>
      </c>
    </row>
    <row r="2931" spans="1:15">
      <c r="A2931" s="3" t="s">
        <v>15</v>
      </c>
      <c r="B2931" s="3" t="str">
        <f>"FES1162743230"</f>
        <v>FES1162743230</v>
      </c>
      <c r="C2931" s="3" t="s">
        <v>1966</v>
      </c>
      <c r="D2931" s="3">
        <v>1</v>
      </c>
      <c r="E2931" s="3" t="str">
        <f>"2170734663"</f>
        <v>2170734663</v>
      </c>
      <c r="F2931" s="3" t="s">
        <v>17</v>
      </c>
      <c r="G2931" s="3" t="s">
        <v>18</v>
      </c>
      <c r="H2931" s="3" t="s">
        <v>18</v>
      </c>
      <c r="I2931" s="3" t="s">
        <v>29</v>
      </c>
      <c r="J2931" s="3" t="s">
        <v>2151</v>
      </c>
      <c r="K2931" s="3" t="s">
        <v>2154</v>
      </c>
      <c r="L2931" s="4">
        <v>0.40625</v>
      </c>
      <c r="M2931" s="3" t="s">
        <v>200</v>
      </c>
      <c r="N2931" s="3" t="s">
        <v>24</v>
      </c>
      <c r="O2931" s="3" t="s">
        <v>25</v>
      </c>
    </row>
    <row r="2932" spans="1:15">
      <c r="A2932" s="3" t="s">
        <v>15</v>
      </c>
      <c r="B2932" s="3" t="str">
        <f>"FES1162743220"</f>
        <v>FES1162743220</v>
      </c>
      <c r="C2932" s="3" t="s">
        <v>1966</v>
      </c>
      <c r="D2932" s="3">
        <v>1</v>
      </c>
      <c r="E2932" s="3" t="str">
        <f>"2170734651"</f>
        <v>2170734651</v>
      </c>
      <c r="F2932" s="3" t="s">
        <v>17</v>
      </c>
      <c r="G2932" s="3" t="s">
        <v>18</v>
      </c>
      <c r="H2932" s="3" t="s">
        <v>18</v>
      </c>
      <c r="I2932" s="3" t="s">
        <v>151</v>
      </c>
      <c r="J2932" s="3" t="s">
        <v>770</v>
      </c>
      <c r="K2932" s="3" t="s">
        <v>2154</v>
      </c>
      <c r="L2932" s="4">
        <v>0.33333333333333331</v>
      </c>
      <c r="M2932" s="3" t="s">
        <v>2189</v>
      </c>
      <c r="N2932" s="3" t="s">
        <v>24</v>
      </c>
      <c r="O2932" s="3" t="s">
        <v>25</v>
      </c>
    </row>
    <row r="2933" spans="1:15">
      <c r="A2933" s="3" t="s">
        <v>15</v>
      </c>
      <c r="B2933" s="3" t="str">
        <f>"FES1162743217"</f>
        <v>FES1162743217</v>
      </c>
      <c r="C2933" s="3" t="s">
        <v>1966</v>
      </c>
      <c r="D2933" s="3">
        <v>1</v>
      </c>
      <c r="E2933" s="3" t="str">
        <f>"2170734647"</f>
        <v>2170734647</v>
      </c>
      <c r="F2933" s="3" t="s">
        <v>17</v>
      </c>
      <c r="G2933" s="3" t="s">
        <v>18</v>
      </c>
      <c r="H2933" s="3" t="s">
        <v>18</v>
      </c>
      <c r="I2933" s="3" t="s">
        <v>29</v>
      </c>
      <c r="J2933" s="3" t="s">
        <v>307</v>
      </c>
      <c r="K2933" s="3" t="s">
        <v>2154</v>
      </c>
      <c r="L2933" s="4">
        <v>0.35069444444444442</v>
      </c>
      <c r="M2933" s="3" t="s">
        <v>308</v>
      </c>
      <c r="N2933" s="3" t="s">
        <v>24</v>
      </c>
      <c r="O2933" s="3" t="s">
        <v>25</v>
      </c>
    </row>
    <row r="2934" spans="1:15">
      <c r="A2934" s="3" t="s">
        <v>15</v>
      </c>
      <c r="B2934" s="3" t="str">
        <f>"FES1162743226"</f>
        <v>FES1162743226</v>
      </c>
      <c r="C2934" s="3" t="s">
        <v>1966</v>
      </c>
      <c r="D2934" s="3">
        <v>1</v>
      </c>
      <c r="E2934" s="3" t="str">
        <f>"2170734357"</f>
        <v>2170734357</v>
      </c>
      <c r="F2934" s="3" t="s">
        <v>17</v>
      </c>
      <c r="G2934" s="3" t="s">
        <v>18</v>
      </c>
      <c r="H2934" s="3" t="s">
        <v>18</v>
      </c>
      <c r="I2934" s="3" t="s">
        <v>29</v>
      </c>
      <c r="J2934" s="3" t="s">
        <v>568</v>
      </c>
      <c r="K2934" s="3" t="s">
        <v>2154</v>
      </c>
      <c r="L2934" s="4">
        <v>0.33333333333333331</v>
      </c>
      <c r="M2934" s="3" t="s">
        <v>632</v>
      </c>
      <c r="N2934" s="3" t="s">
        <v>24</v>
      </c>
      <c r="O2934" s="3" t="s">
        <v>25</v>
      </c>
    </row>
    <row r="2935" spans="1:15">
      <c r="A2935" s="3" t="s">
        <v>15</v>
      </c>
      <c r="B2935" s="3" t="str">
        <f>"FES1162743228"</f>
        <v>FES1162743228</v>
      </c>
      <c r="C2935" s="3" t="s">
        <v>1966</v>
      </c>
      <c r="D2935" s="3">
        <v>1</v>
      </c>
      <c r="E2935" s="3" t="str">
        <f>"2170734661"</f>
        <v>2170734661</v>
      </c>
      <c r="F2935" s="3" t="s">
        <v>17</v>
      </c>
      <c r="G2935" s="3" t="s">
        <v>18</v>
      </c>
      <c r="H2935" s="3" t="s">
        <v>100</v>
      </c>
      <c r="I2935" s="3" t="s">
        <v>101</v>
      </c>
      <c r="J2935" s="3" t="s">
        <v>131</v>
      </c>
      <c r="K2935" s="3" t="s">
        <v>2154</v>
      </c>
      <c r="L2935" s="4">
        <v>0.35972222222222222</v>
      </c>
      <c r="M2935" s="3" t="s">
        <v>132</v>
      </c>
      <c r="N2935" s="3" t="s">
        <v>24</v>
      </c>
      <c r="O2935" s="3" t="s">
        <v>25</v>
      </c>
    </row>
    <row r="2936" spans="1:15">
      <c r="A2936" s="3" t="s">
        <v>15</v>
      </c>
      <c r="B2936" s="3" t="str">
        <f>"FES1162743224"</f>
        <v>FES1162743224</v>
      </c>
      <c r="C2936" s="3" t="s">
        <v>1966</v>
      </c>
      <c r="D2936" s="3">
        <v>1</v>
      </c>
      <c r="E2936" s="3" t="str">
        <f>"2170734656"</f>
        <v>2170734656</v>
      </c>
      <c r="F2936" s="3" t="s">
        <v>17</v>
      </c>
      <c r="G2936" s="3" t="s">
        <v>18</v>
      </c>
      <c r="H2936" s="3" t="s">
        <v>537</v>
      </c>
      <c r="I2936" s="3" t="s">
        <v>608</v>
      </c>
      <c r="J2936" s="3" t="s">
        <v>609</v>
      </c>
      <c r="K2936" s="3" t="s">
        <v>2154</v>
      </c>
      <c r="L2936" s="4">
        <v>0.51388888888888895</v>
      </c>
      <c r="M2936" s="3" t="s">
        <v>610</v>
      </c>
      <c r="N2936" s="3" t="s">
        <v>24</v>
      </c>
      <c r="O2936" s="3" t="s">
        <v>25</v>
      </c>
    </row>
    <row r="2937" spans="1:15">
      <c r="A2937" s="3" t="s">
        <v>15</v>
      </c>
      <c r="B2937" s="3" t="str">
        <f>"FES1162743240"</f>
        <v>FES1162743240</v>
      </c>
      <c r="C2937" s="3" t="s">
        <v>1966</v>
      </c>
      <c r="D2937" s="3">
        <v>1</v>
      </c>
      <c r="E2937" s="3" t="str">
        <f>"2170734677"</f>
        <v>2170734677</v>
      </c>
      <c r="F2937" s="3" t="s">
        <v>17</v>
      </c>
      <c r="G2937" s="3" t="s">
        <v>18</v>
      </c>
      <c r="H2937" s="3" t="s">
        <v>66</v>
      </c>
      <c r="I2937" s="3" t="s">
        <v>67</v>
      </c>
      <c r="J2937" s="3" t="s">
        <v>68</v>
      </c>
      <c r="K2937" s="3" t="s">
        <v>2154</v>
      </c>
      <c r="L2937" s="4">
        <v>0.38194444444444442</v>
      </c>
      <c r="M2937" s="3" t="s">
        <v>502</v>
      </c>
      <c r="N2937" s="3" t="s">
        <v>24</v>
      </c>
      <c r="O2937" s="3" t="s">
        <v>25</v>
      </c>
    </row>
    <row r="2938" spans="1:15">
      <c r="A2938" s="3" t="s">
        <v>15</v>
      </c>
      <c r="B2938" s="3" t="str">
        <f>"FES1162743236"</f>
        <v>FES1162743236</v>
      </c>
      <c r="C2938" s="3" t="s">
        <v>1966</v>
      </c>
      <c r="D2938" s="3">
        <v>1</v>
      </c>
      <c r="E2938" s="3" t="str">
        <f>"2170734675"</f>
        <v>2170734675</v>
      </c>
      <c r="F2938" s="3" t="s">
        <v>17</v>
      </c>
      <c r="G2938" s="3" t="s">
        <v>18</v>
      </c>
      <c r="H2938" s="3" t="s">
        <v>18</v>
      </c>
      <c r="I2938" s="3" t="s">
        <v>171</v>
      </c>
      <c r="J2938" s="3" t="s">
        <v>189</v>
      </c>
      <c r="K2938" s="3" t="s">
        <v>2154</v>
      </c>
      <c r="L2938" s="4">
        <v>0.31527777777777777</v>
      </c>
      <c r="M2938" s="3" t="s">
        <v>412</v>
      </c>
      <c r="N2938" s="3" t="s">
        <v>24</v>
      </c>
      <c r="O2938" s="3" t="s">
        <v>25</v>
      </c>
    </row>
    <row r="2939" spans="1:15">
      <c r="A2939" s="3" t="s">
        <v>15</v>
      </c>
      <c r="B2939" s="3" t="str">
        <f>"FES1162743223"</f>
        <v>FES1162743223</v>
      </c>
      <c r="C2939" s="3" t="s">
        <v>1966</v>
      </c>
      <c r="D2939" s="3">
        <v>1</v>
      </c>
      <c r="E2939" s="3" t="str">
        <f>"21707346555"</f>
        <v>21707346555</v>
      </c>
      <c r="F2939" s="3" t="s">
        <v>17</v>
      </c>
      <c r="G2939" s="3" t="s">
        <v>18</v>
      </c>
      <c r="H2939" s="3" t="s">
        <v>537</v>
      </c>
      <c r="I2939" s="3" t="s">
        <v>608</v>
      </c>
      <c r="J2939" s="3" t="s">
        <v>609</v>
      </c>
      <c r="K2939" s="3" t="s">
        <v>2154</v>
      </c>
      <c r="L2939" s="4">
        <v>0.51388888888888895</v>
      </c>
      <c r="M2939" s="3" t="s">
        <v>610</v>
      </c>
      <c r="N2939" s="3" t="s">
        <v>24</v>
      </c>
      <c r="O2939" s="3" t="s">
        <v>25</v>
      </c>
    </row>
    <row r="2940" spans="1:15">
      <c r="A2940" s="3" t="s">
        <v>15</v>
      </c>
      <c r="B2940" s="3" t="str">
        <f>"FES1162743229"</f>
        <v>FES1162743229</v>
      </c>
      <c r="C2940" s="3" t="s">
        <v>1966</v>
      </c>
      <c r="D2940" s="3">
        <v>2</v>
      </c>
      <c r="E2940" s="3" t="str">
        <f>"2170734143"</f>
        <v>2170734143</v>
      </c>
      <c r="F2940" s="3" t="s">
        <v>528</v>
      </c>
      <c r="G2940" s="3" t="s">
        <v>948</v>
      </c>
      <c r="H2940" s="3" t="s">
        <v>948</v>
      </c>
      <c r="I2940" s="3" t="s">
        <v>171</v>
      </c>
      <c r="J2940" s="3" t="s">
        <v>574</v>
      </c>
      <c r="K2940" s="3" t="s">
        <v>2154</v>
      </c>
      <c r="L2940" s="4">
        <v>0.37777777777777777</v>
      </c>
      <c r="M2940" s="3" t="s">
        <v>2205</v>
      </c>
      <c r="N2940" s="3" t="s">
        <v>24</v>
      </c>
      <c r="O2940" s="3" t="s">
        <v>25</v>
      </c>
    </row>
    <row r="2941" spans="1:15">
      <c r="A2941" s="3" t="s">
        <v>15</v>
      </c>
      <c r="B2941" s="3" t="str">
        <f>"FES1162743219"</f>
        <v>FES1162743219</v>
      </c>
      <c r="C2941" s="3" t="s">
        <v>1966</v>
      </c>
      <c r="D2941" s="3">
        <v>1</v>
      </c>
      <c r="E2941" s="3" t="str">
        <f>"2170734650"</f>
        <v>2170734650</v>
      </c>
      <c r="F2941" s="3" t="s">
        <v>17</v>
      </c>
      <c r="G2941" s="3" t="s">
        <v>18</v>
      </c>
      <c r="H2941" s="3" t="s">
        <v>100</v>
      </c>
      <c r="I2941" s="3" t="s">
        <v>155</v>
      </c>
      <c r="J2941" s="3" t="s">
        <v>333</v>
      </c>
      <c r="K2941" s="3" t="s">
        <v>2154</v>
      </c>
      <c r="L2941" s="4">
        <v>0.37777777777777777</v>
      </c>
      <c r="M2941" s="3" t="s">
        <v>334</v>
      </c>
      <c r="N2941" s="3" t="s">
        <v>24</v>
      </c>
      <c r="O2941" s="3" t="s">
        <v>25</v>
      </c>
    </row>
    <row r="2942" spans="1:15">
      <c r="A2942" s="3" t="s">
        <v>15</v>
      </c>
      <c r="B2942" s="3" t="str">
        <f>"FES1162743239"</f>
        <v>FES1162743239</v>
      </c>
      <c r="C2942" s="3" t="s">
        <v>1966</v>
      </c>
      <c r="D2942" s="3">
        <v>1</v>
      </c>
      <c r="E2942" s="3" t="str">
        <f>"2170734659"</f>
        <v>2170734659</v>
      </c>
      <c r="F2942" s="3" t="s">
        <v>17</v>
      </c>
      <c r="G2942" s="3" t="s">
        <v>18</v>
      </c>
      <c r="H2942" s="3" t="s">
        <v>18</v>
      </c>
      <c r="I2942" s="3" t="s">
        <v>151</v>
      </c>
      <c r="J2942" s="3" t="s">
        <v>493</v>
      </c>
      <c r="K2942" s="3" t="s">
        <v>2154</v>
      </c>
      <c r="L2942" s="4">
        <v>0.33333333333333331</v>
      </c>
      <c r="M2942" s="3" t="s">
        <v>981</v>
      </c>
      <c r="N2942" s="3" t="s">
        <v>24</v>
      </c>
      <c r="O2942" s="3" t="s">
        <v>25</v>
      </c>
    </row>
    <row r="2943" spans="1:15">
      <c r="A2943" s="3" t="s">
        <v>15</v>
      </c>
      <c r="B2943" s="3" t="str">
        <f>"FES1162743234"</f>
        <v>FES1162743234</v>
      </c>
      <c r="C2943" s="3" t="s">
        <v>1966</v>
      </c>
      <c r="D2943" s="3">
        <v>2</v>
      </c>
      <c r="E2943" s="3" t="str">
        <f>"2170734674"</f>
        <v>2170734674</v>
      </c>
      <c r="F2943" s="3" t="s">
        <v>17</v>
      </c>
      <c r="G2943" s="3" t="s">
        <v>18</v>
      </c>
      <c r="H2943" s="3" t="s">
        <v>18</v>
      </c>
      <c r="I2943" s="3" t="s">
        <v>33</v>
      </c>
      <c r="J2943" s="3" t="s">
        <v>2206</v>
      </c>
      <c r="K2943" s="3" t="s">
        <v>2154</v>
      </c>
      <c r="L2943" s="4">
        <v>0.36249999999999999</v>
      </c>
      <c r="M2943" s="3" t="s">
        <v>2207</v>
      </c>
      <c r="N2943" s="3" t="s">
        <v>24</v>
      </c>
      <c r="O2943" s="3" t="s">
        <v>25</v>
      </c>
    </row>
    <row r="2944" spans="1:15">
      <c r="A2944" s="3" t="s">
        <v>15</v>
      </c>
      <c r="B2944" s="3" t="str">
        <f>"FES1162743242"</f>
        <v>FES1162743242</v>
      </c>
      <c r="C2944" s="3" t="s">
        <v>1966</v>
      </c>
      <c r="D2944" s="3">
        <v>1</v>
      </c>
      <c r="E2944" s="3" t="str">
        <f>"2170734682"</f>
        <v>2170734682</v>
      </c>
      <c r="F2944" s="3" t="s">
        <v>17</v>
      </c>
      <c r="G2944" s="3" t="s">
        <v>18</v>
      </c>
      <c r="H2944" s="3" t="s">
        <v>18</v>
      </c>
      <c r="I2944" s="3" t="s">
        <v>171</v>
      </c>
      <c r="J2944" s="3" t="s">
        <v>311</v>
      </c>
      <c r="K2944" s="3" t="s">
        <v>2154</v>
      </c>
      <c r="L2944" s="4">
        <v>0.28402777777777777</v>
      </c>
      <c r="M2944" s="3" t="s">
        <v>2208</v>
      </c>
      <c r="N2944" s="3" t="s">
        <v>24</v>
      </c>
      <c r="O2944" s="3" t="s">
        <v>25</v>
      </c>
    </row>
    <row r="2945" spans="1:15">
      <c r="A2945" s="3" t="s">
        <v>15</v>
      </c>
      <c r="B2945" s="3" t="str">
        <f>"FES1162743241"</f>
        <v>FES1162743241</v>
      </c>
      <c r="C2945" s="3" t="s">
        <v>1966</v>
      </c>
      <c r="D2945" s="3">
        <v>1</v>
      </c>
      <c r="E2945" s="3" t="str">
        <f>"2170734678"</f>
        <v>2170734678</v>
      </c>
      <c r="F2945" s="3" t="s">
        <v>17</v>
      </c>
      <c r="G2945" s="3" t="s">
        <v>18</v>
      </c>
      <c r="H2945" s="3" t="s">
        <v>19</v>
      </c>
      <c r="I2945" s="3" t="s">
        <v>277</v>
      </c>
      <c r="J2945" s="3" t="s">
        <v>549</v>
      </c>
      <c r="K2945" s="3" t="s">
        <v>2154</v>
      </c>
      <c r="L2945" s="4">
        <v>0.39583333333333331</v>
      </c>
      <c r="M2945" s="3" t="s">
        <v>2209</v>
      </c>
      <c r="N2945" s="3" t="s">
        <v>24</v>
      </c>
      <c r="O2945" s="3" t="s">
        <v>25</v>
      </c>
    </row>
    <row r="2946" spans="1:15">
      <c r="A2946" s="3" t="s">
        <v>15</v>
      </c>
      <c r="B2946" s="3" t="str">
        <f>"FES1162743143"</f>
        <v>FES1162743143</v>
      </c>
      <c r="C2946" s="3" t="s">
        <v>1966</v>
      </c>
      <c r="D2946" s="3">
        <v>1</v>
      </c>
      <c r="E2946" s="3" t="str">
        <f>"2170734554"</f>
        <v>2170734554</v>
      </c>
      <c r="F2946" s="3" t="s">
        <v>17</v>
      </c>
      <c r="G2946" s="3" t="s">
        <v>18</v>
      </c>
      <c r="H2946" s="3" t="s">
        <v>534</v>
      </c>
      <c r="I2946" s="3" t="s">
        <v>535</v>
      </c>
      <c r="J2946" s="3" t="s">
        <v>536</v>
      </c>
      <c r="K2946" s="3" t="s">
        <v>2154</v>
      </c>
      <c r="L2946" s="4">
        <v>0.39583333333333331</v>
      </c>
      <c r="M2946" s="3" t="s">
        <v>232</v>
      </c>
      <c r="N2946" s="3" t="s">
        <v>24</v>
      </c>
      <c r="O2946" s="3" t="s">
        <v>25</v>
      </c>
    </row>
    <row r="2947" spans="1:15">
      <c r="A2947" s="3" t="s">
        <v>15</v>
      </c>
      <c r="B2947" s="3" t="str">
        <f>"FES1162743121"</f>
        <v>FES1162743121</v>
      </c>
      <c r="C2947" s="3" t="s">
        <v>1966</v>
      </c>
      <c r="D2947" s="3">
        <v>1</v>
      </c>
      <c r="E2947" s="3" t="str">
        <f>"2170734514"</f>
        <v>2170734514</v>
      </c>
      <c r="F2947" s="3" t="s">
        <v>17</v>
      </c>
      <c r="G2947" s="3" t="s">
        <v>18</v>
      </c>
      <c r="H2947" s="3" t="s">
        <v>100</v>
      </c>
      <c r="I2947" s="3" t="s">
        <v>101</v>
      </c>
      <c r="J2947" s="3" t="s">
        <v>34</v>
      </c>
      <c r="K2947" s="3" t="s">
        <v>2154</v>
      </c>
      <c r="L2947" s="4">
        <v>0.33402777777777781</v>
      </c>
      <c r="M2947" s="3" t="s">
        <v>2011</v>
      </c>
      <c r="N2947" s="3" t="s">
        <v>24</v>
      </c>
      <c r="O2947" s="3" t="s">
        <v>25</v>
      </c>
    </row>
    <row r="2948" spans="1:15">
      <c r="A2948" s="7" t="s">
        <v>15</v>
      </c>
      <c r="B2948" s="7" t="str">
        <f>"FES1162743109"</f>
        <v>FES1162743109</v>
      </c>
      <c r="C2948" s="7" t="s">
        <v>1966</v>
      </c>
      <c r="D2948" s="7">
        <v>1</v>
      </c>
      <c r="E2948" s="7" t="str">
        <f>"2170734493"</f>
        <v>2170734493</v>
      </c>
      <c r="F2948" s="7" t="s">
        <v>17</v>
      </c>
      <c r="G2948" s="7" t="s">
        <v>18</v>
      </c>
      <c r="H2948" s="7" t="s">
        <v>18</v>
      </c>
      <c r="I2948" s="7" t="s">
        <v>33</v>
      </c>
      <c r="J2948" s="7" t="s">
        <v>284</v>
      </c>
      <c r="K2948" s="7" t="s">
        <v>447</v>
      </c>
      <c r="L2948" s="7"/>
      <c r="M2948" s="7" t="s">
        <v>448</v>
      </c>
      <c r="N2948" s="7" t="s">
        <v>2155</v>
      </c>
      <c r="O2948" s="7" t="s">
        <v>2155</v>
      </c>
    </row>
    <row r="2949" spans="1:15">
      <c r="A2949" s="3" t="s">
        <v>15</v>
      </c>
      <c r="B2949" s="3" t="str">
        <f>"FES1162743085"</f>
        <v>FES1162743085</v>
      </c>
      <c r="C2949" s="3" t="s">
        <v>1966</v>
      </c>
      <c r="D2949" s="3">
        <v>1</v>
      </c>
      <c r="E2949" s="3" t="str">
        <f>"2170733454"</f>
        <v>2170733454</v>
      </c>
      <c r="F2949" s="3" t="s">
        <v>17</v>
      </c>
      <c r="G2949" s="3" t="s">
        <v>18</v>
      </c>
      <c r="H2949" s="3" t="s">
        <v>18</v>
      </c>
      <c r="I2949" s="3" t="s">
        <v>168</v>
      </c>
      <c r="J2949" s="3" t="s">
        <v>169</v>
      </c>
      <c r="K2949" s="3" t="s">
        <v>2154</v>
      </c>
      <c r="L2949" s="4">
        <v>0.40625</v>
      </c>
      <c r="M2949" s="3" t="s">
        <v>170</v>
      </c>
      <c r="N2949" s="3" t="s">
        <v>24</v>
      </c>
      <c r="O2949" s="3" t="s">
        <v>25</v>
      </c>
    </row>
    <row r="2950" spans="1:15">
      <c r="A2950" s="3" t="s">
        <v>15</v>
      </c>
      <c r="B2950" s="3" t="str">
        <f>"FES1162743129"</f>
        <v>FES1162743129</v>
      </c>
      <c r="C2950" s="3" t="s">
        <v>1966</v>
      </c>
      <c r="D2950" s="3">
        <v>1</v>
      </c>
      <c r="E2950" s="3" t="str">
        <f>"2170734531"</f>
        <v>2170734531</v>
      </c>
      <c r="F2950" s="3" t="s">
        <v>17</v>
      </c>
      <c r="G2950" s="3" t="s">
        <v>18</v>
      </c>
      <c r="H2950" s="3" t="s">
        <v>100</v>
      </c>
      <c r="I2950" s="3" t="s">
        <v>117</v>
      </c>
      <c r="J2950" s="3" t="s">
        <v>118</v>
      </c>
      <c r="K2950" s="3" t="s">
        <v>2154</v>
      </c>
      <c r="L2950" s="4">
        <v>0.46458333333333335</v>
      </c>
      <c r="M2950" s="3" t="s">
        <v>119</v>
      </c>
      <c r="N2950" s="3" t="s">
        <v>24</v>
      </c>
      <c r="O2950" s="3" t="s">
        <v>25</v>
      </c>
    </row>
    <row r="2951" spans="1:15">
      <c r="A2951" s="3" t="s">
        <v>15</v>
      </c>
      <c r="B2951" s="3" t="str">
        <f>"FES1162743125"</f>
        <v>FES1162743125</v>
      </c>
      <c r="C2951" s="3" t="s">
        <v>1966</v>
      </c>
      <c r="D2951" s="3">
        <v>1</v>
      </c>
      <c r="E2951" s="3" t="str">
        <f>"2170734521"</f>
        <v>2170734521</v>
      </c>
      <c r="F2951" s="3" t="s">
        <v>17</v>
      </c>
      <c r="G2951" s="3" t="s">
        <v>18</v>
      </c>
      <c r="H2951" s="3" t="s">
        <v>100</v>
      </c>
      <c r="I2951" s="3" t="s">
        <v>101</v>
      </c>
      <c r="J2951" s="3" t="s">
        <v>125</v>
      </c>
      <c r="K2951" s="3" t="s">
        <v>2154</v>
      </c>
      <c r="L2951" s="4">
        <v>0.29791666666666666</v>
      </c>
      <c r="M2951" s="3" t="s">
        <v>2156</v>
      </c>
      <c r="N2951" s="3" t="s">
        <v>24</v>
      </c>
      <c r="O2951" s="3" t="s">
        <v>25</v>
      </c>
    </row>
    <row r="2952" spans="1:15">
      <c r="A2952" s="3" t="s">
        <v>15</v>
      </c>
      <c r="B2952" s="3" t="str">
        <f>"FES1162743136"</f>
        <v>FES1162743136</v>
      </c>
      <c r="C2952" s="3" t="s">
        <v>1966</v>
      </c>
      <c r="D2952" s="3">
        <v>1</v>
      </c>
      <c r="E2952" s="3" t="str">
        <f>"2170734542"</f>
        <v>2170734542</v>
      </c>
      <c r="F2952" s="3" t="s">
        <v>17</v>
      </c>
      <c r="G2952" s="3" t="s">
        <v>18</v>
      </c>
      <c r="H2952" s="3" t="s">
        <v>36</v>
      </c>
      <c r="I2952" s="3" t="s">
        <v>37</v>
      </c>
      <c r="J2952" s="3" t="s">
        <v>260</v>
      </c>
      <c r="K2952" s="3" t="s">
        <v>2154</v>
      </c>
      <c r="L2952" s="4">
        <v>0.3659722222222222</v>
      </c>
      <c r="M2952" s="3" t="s">
        <v>691</v>
      </c>
      <c r="N2952" s="3" t="s">
        <v>24</v>
      </c>
      <c r="O2952" s="3" t="s">
        <v>25</v>
      </c>
    </row>
    <row r="2953" spans="1:15">
      <c r="A2953" s="3" t="s">
        <v>15</v>
      </c>
      <c r="B2953" s="3" t="str">
        <f>"FES1162743172"</f>
        <v>FES1162743172</v>
      </c>
      <c r="C2953" s="3" t="s">
        <v>1966</v>
      </c>
      <c r="D2953" s="3">
        <v>1</v>
      </c>
      <c r="E2953" s="3" t="str">
        <f>"2170734587"</f>
        <v>2170734587</v>
      </c>
      <c r="F2953" s="3" t="s">
        <v>17</v>
      </c>
      <c r="G2953" s="3" t="s">
        <v>18</v>
      </c>
      <c r="H2953" s="3" t="s">
        <v>36</v>
      </c>
      <c r="I2953" s="3" t="s">
        <v>2157</v>
      </c>
      <c r="J2953" s="3" t="s">
        <v>2158</v>
      </c>
      <c r="K2953" s="3" t="s">
        <v>2210</v>
      </c>
      <c r="L2953" s="4">
        <v>0.51666666666666672</v>
      </c>
      <c r="M2953" s="3" t="s">
        <v>2211</v>
      </c>
      <c r="N2953" s="3" t="s">
        <v>24</v>
      </c>
      <c r="O2953" s="3" t="s">
        <v>25</v>
      </c>
    </row>
    <row r="2954" spans="1:15">
      <c r="A2954" s="3" t="s">
        <v>15</v>
      </c>
      <c r="B2954" s="3" t="str">
        <f>"FES1162743094"</f>
        <v>FES1162743094</v>
      </c>
      <c r="C2954" s="3" t="s">
        <v>1966</v>
      </c>
      <c r="D2954" s="3">
        <v>1</v>
      </c>
      <c r="E2954" s="3" t="str">
        <f>"2170734474"</f>
        <v>2170734474</v>
      </c>
      <c r="F2954" s="3" t="s">
        <v>17</v>
      </c>
      <c r="G2954" s="3" t="s">
        <v>18</v>
      </c>
      <c r="H2954" s="3" t="s">
        <v>19</v>
      </c>
      <c r="I2954" s="3" t="s">
        <v>20</v>
      </c>
      <c r="J2954" s="3" t="s">
        <v>1360</v>
      </c>
      <c r="K2954" s="3" t="s">
        <v>2154</v>
      </c>
      <c r="L2954" s="4">
        <v>0.35625000000000001</v>
      </c>
      <c r="M2954" s="3" t="s">
        <v>956</v>
      </c>
      <c r="N2954" s="3" t="s">
        <v>24</v>
      </c>
      <c r="O2954" s="3" t="s">
        <v>25</v>
      </c>
    </row>
    <row r="2955" spans="1:15">
      <c r="A2955" s="3" t="s">
        <v>15</v>
      </c>
      <c r="B2955" s="3" t="str">
        <f>"FES1162743128"</f>
        <v>FES1162743128</v>
      </c>
      <c r="C2955" s="3" t="s">
        <v>1966</v>
      </c>
      <c r="D2955" s="3">
        <v>1</v>
      </c>
      <c r="E2955" s="3" t="str">
        <f>"2170734524"</f>
        <v>2170734524</v>
      </c>
      <c r="F2955" s="3" t="s">
        <v>17</v>
      </c>
      <c r="G2955" s="3" t="s">
        <v>18</v>
      </c>
      <c r="H2955" s="3" t="s">
        <v>19</v>
      </c>
      <c r="I2955" s="3" t="s">
        <v>51</v>
      </c>
      <c r="J2955" s="3" t="s">
        <v>429</v>
      </c>
      <c r="K2955" s="3" t="s">
        <v>2154</v>
      </c>
      <c r="L2955" s="4">
        <v>0.42222222222222222</v>
      </c>
      <c r="M2955" s="3" t="s">
        <v>982</v>
      </c>
      <c r="N2955" s="3" t="s">
        <v>24</v>
      </c>
      <c r="O2955" s="3" t="s">
        <v>25</v>
      </c>
    </row>
    <row r="2956" spans="1:15">
      <c r="A2956" s="3" t="s">
        <v>15</v>
      </c>
      <c r="B2956" s="3" t="str">
        <f>"FES1162743081"</f>
        <v>FES1162743081</v>
      </c>
      <c r="C2956" s="3" t="s">
        <v>1966</v>
      </c>
      <c r="D2956" s="3">
        <v>1</v>
      </c>
      <c r="E2956" s="3" t="str">
        <f>"2170734460"</f>
        <v>2170734460</v>
      </c>
      <c r="F2956" s="3" t="s">
        <v>17</v>
      </c>
      <c r="G2956" s="3" t="s">
        <v>18</v>
      </c>
      <c r="H2956" s="3" t="s">
        <v>19</v>
      </c>
      <c r="I2956" s="3" t="s">
        <v>51</v>
      </c>
      <c r="J2956" s="3" t="s">
        <v>429</v>
      </c>
      <c r="K2956" s="3" t="s">
        <v>2154</v>
      </c>
      <c r="L2956" s="4">
        <v>0.42222222222222222</v>
      </c>
      <c r="M2956" s="3" t="s">
        <v>982</v>
      </c>
      <c r="N2956" s="3" t="s">
        <v>24</v>
      </c>
      <c r="O2956" s="3" t="s">
        <v>25</v>
      </c>
    </row>
    <row r="2957" spans="1:15">
      <c r="A2957" s="3" t="s">
        <v>15</v>
      </c>
      <c r="B2957" s="3" t="str">
        <f>"FES1162743155"</f>
        <v>FES1162743155</v>
      </c>
      <c r="C2957" s="3" t="s">
        <v>1966</v>
      </c>
      <c r="D2957" s="3">
        <v>1</v>
      </c>
      <c r="E2957" s="3" t="str">
        <f>"2170734563"</f>
        <v>2170734563</v>
      </c>
      <c r="F2957" s="3" t="s">
        <v>17</v>
      </c>
      <c r="G2957" s="3" t="s">
        <v>18</v>
      </c>
      <c r="H2957" s="3" t="s">
        <v>100</v>
      </c>
      <c r="I2957" s="3" t="s">
        <v>101</v>
      </c>
      <c r="J2957" s="3" t="s">
        <v>2160</v>
      </c>
      <c r="K2957" s="3" t="s">
        <v>2154</v>
      </c>
      <c r="L2957" s="4">
        <v>0.4465277777777778</v>
      </c>
      <c r="M2957" s="3" t="s">
        <v>2161</v>
      </c>
      <c r="N2957" s="3" t="s">
        <v>24</v>
      </c>
      <c r="O2957" s="3" t="s">
        <v>25</v>
      </c>
    </row>
    <row r="2958" spans="1:15">
      <c r="A2958" s="3" t="s">
        <v>15</v>
      </c>
      <c r="B2958" s="3" t="str">
        <f>"FES1162743166"</f>
        <v>FES1162743166</v>
      </c>
      <c r="C2958" s="3" t="s">
        <v>1966</v>
      </c>
      <c r="D2958" s="3">
        <v>1</v>
      </c>
      <c r="E2958" s="3" t="str">
        <f>"2170734581"</f>
        <v>2170734581</v>
      </c>
      <c r="F2958" s="3" t="s">
        <v>17</v>
      </c>
      <c r="G2958" s="3" t="s">
        <v>18</v>
      </c>
      <c r="H2958" s="3" t="s">
        <v>18</v>
      </c>
      <c r="I2958" s="3" t="s">
        <v>33</v>
      </c>
      <c r="J2958" s="3" t="s">
        <v>2162</v>
      </c>
      <c r="K2958" s="3" t="s">
        <v>2154</v>
      </c>
      <c r="L2958" s="4">
        <v>0.40833333333333338</v>
      </c>
      <c r="M2958" s="3" t="s">
        <v>2163</v>
      </c>
      <c r="N2958" s="3" t="s">
        <v>24</v>
      </c>
      <c r="O2958" s="3" t="s">
        <v>25</v>
      </c>
    </row>
    <row r="2959" spans="1:15">
      <c r="A2959" s="3" t="s">
        <v>15</v>
      </c>
      <c r="B2959" s="3" t="str">
        <f>"FES1162743174"</f>
        <v>FES1162743174</v>
      </c>
      <c r="C2959" s="3" t="s">
        <v>1966</v>
      </c>
      <c r="D2959" s="3">
        <v>1</v>
      </c>
      <c r="E2959" s="3" t="str">
        <f>"2170734589"</f>
        <v>2170734589</v>
      </c>
      <c r="F2959" s="3" t="s">
        <v>17</v>
      </c>
      <c r="G2959" s="3" t="s">
        <v>18</v>
      </c>
      <c r="H2959" s="3" t="s">
        <v>66</v>
      </c>
      <c r="I2959" s="3" t="s">
        <v>67</v>
      </c>
      <c r="J2959" s="3" t="s">
        <v>2164</v>
      </c>
      <c r="K2959" s="3" t="s">
        <v>2154</v>
      </c>
      <c r="L2959" s="4">
        <v>0.3923611111111111</v>
      </c>
      <c r="M2959" s="3" t="s">
        <v>2111</v>
      </c>
      <c r="N2959" s="3" t="s">
        <v>24</v>
      </c>
      <c r="O2959" s="3" t="s">
        <v>317</v>
      </c>
    </row>
    <row r="2960" spans="1:15">
      <c r="A2960" s="3" t="s">
        <v>15</v>
      </c>
      <c r="B2960" s="3" t="str">
        <f>"FES1162743105"</f>
        <v>FES1162743105</v>
      </c>
      <c r="C2960" s="3" t="s">
        <v>1966</v>
      </c>
      <c r="D2960" s="3">
        <v>1</v>
      </c>
      <c r="E2960" s="3" t="str">
        <f>"21707374417"</f>
        <v>21707374417</v>
      </c>
      <c r="F2960" s="3" t="s">
        <v>17</v>
      </c>
      <c r="G2960" s="3" t="s">
        <v>18</v>
      </c>
      <c r="H2960" s="3" t="s">
        <v>19</v>
      </c>
      <c r="I2960" s="3" t="s">
        <v>86</v>
      </c>
      <c r="J2960" s="3" t="s">
        <v>2165</v>
      </c>
      <c r="K2960" s="3" t="s">
        <v>2154</v>
      </c>
      <c r="L2960" s="4">
        <v>0.4694444444444445</v>
      </c>
      <c r="M2960" s="3" t="s">
        <v>2166</v>
      </c>
      <c r="N2960" s="3" t="s">
        <v>24</v>
      </c>
      <c r="O2960" s="3" t="s">
        <v>25</v>
      </c>
    </row>
    <row r="2961" spans="1:15">
      <c r="A2961" s="3" t="s">
        <v>15</v>
      </c>
      <c r="B2961" s="3" t="str">
        <f>"FES1162743086"</f>
        <v>FES1162743086</v>
      </c>
      <c r="C2961" s="3" t="s">
        <v>1966</v>
      </c>
      <c r="D2961" s="3">
        <v>1</v>
      </c>
      <c r="E2961" s="3" t="str">
        <f>"2170733801"</f>
        <v>2170733801</v>
      </c>
      <c r="F2961" s="3" t="s">
        <v>17</v>
      </c>
      <c r="G2961" s="3" t="s">
        <v>18</v>
      </c>
      <c r="H2961" s="3" t="s">
        <v>66</v>
      </c>
      <c r="I2961" s="3" t="s">
        <v>177</v>
      </c>
      <c r="J2961" s="3" t="s">
        <v>590</v>
      </c>
      <c r="K2961" s="3" t="s">
        <v>2154</v>
      </c>
      <c r="L2961" s="4">
        <v>0.375</v>
      </c>
      <c r="M2961" s="3" t="s">
        <v>268</v>
      </c>
      <c r="N2961" s="3" t="s">
        <v>24</v>
      </c>
      <c r="O2961" s="3" t="s">
        <v>25</v>
      </c>
    </row>
    <row r="2962" spans="1:15">
      <c r="A2962" s="3" t="s">
        <v>15</v>
      </c>
      <c r="B2962" s="3" t="str">
        <f>"FES1162743113"</f>
        <v>FES1162743113</v>
      </c>
      <c r="C2962" s="3" t="s">
        <v>1966</v>
      </c>
      <c r="D2962" s="3">
        <v>1</v>
      </c>
      <c r="E2962" s="3" t="str">
        <f>"2170734505"</f>
        <v>2170734505</v>
      </c>
      <c r="F2962" s="3" t="s">
        <v>17</v>
      </c>
      <c r="G2962" s="3" t="s">
        <v>18</v>
      </c>
      <c r="H2962" s="3" t="s">
        <v>46</v>
      </c>
      <c r="I2962" s="3" t="s">
        <v>47</v>
      </c>
      <c r="J2962" s="3" t="s">
        <v>62</v>
      </c>
      <c r="K2962" s="3" t="s">
        <v>2154</v>
      </c>
      <c r="L2962" s="4">
        <v>0.39097222222222222</v>
      </c>
      <c r="M2962" s="3" t="s">
        <v>1024</v>
      </c>
      <c r="N2962" s="3" t="s">
        <v>24</v>
      </c>
      <c r="O2962" s="3" t="s">
        <v>25</v>
      </c>
    </row>
    <row r="2963" spans="1:15">
      <c r="A2963" s="3" t="s">
        <v>15</v>
      </c>
      <c r="B2963" s="3" t="str">
        <f>"FES1162743115"</f>
        <v>FES1162743115</v>
      </c>
      <c r="C2963" s="3" t="s">
        <v>1966</v>
      </c>
      <c r="D2963" s="3">
        <v>1</v>
      </c>
      <c r="E2963" s="3" t="str">
        <f>"2170734508"</f>
        <v>2170734508</v>
      </c>
      <c r="F2963" s="3" t="s">
        <v>17</v>
      </c>
      <c r="G2963" s="3" t="s">
        <v>18</v>
      </c>
      <c r="H2963" s="3" t="s">
        <v>70</v>
      </c>
      <c r="I2963" s="3" t="s">
        <v>71</v>
      </c>
      <c r="J2963" s="3" t="s">
        <v>248</v>
      </c>
      <c r="K2963" s="3" t="s">
        <v>2154</v>
      </c>
      <c r="L2963" s="4">
        <v>0.39583333333333331</v>
      </c>
      <c r="M2963" s="3" t="s">
        <v>929</v>
      </c>
      <c r="N2963" s="3" t="s">
        <v>24</v>
      </c>
      <c r="O2963" s="3" t="s">
        <v>25</v>
      </c>
    </row>
    <row r="2964" spans="1:15">
      <c r="A2964" s="7" t="s">
        <v>15</v>
      </c>
      <c r="B2964" s="7" t="str">
        <f>"FES1162743114"</f>
        <v>FES1162743114</v>
      </c>
      <c r="C2964" s="7" t="s">
        <v>1966</v>
      </c>
      <c r="D2964" s="7">
        <v>1</v>
      </c>
      <c r="E2964" s="7" t="str">
        <f>"2170734057"</f>
        <v>2170734057</v>
      </c>
      <c r="F2964" s="7" t="s">
        <v>17</v>
      </c>
      <c r="G2964" s="7" t="s">
        <v>18</v>
      </c>
      <c r="H2964" s="7" t="s">
        <v>19</v>
      </c>
      <c r="I2964" s="7" t="s">
        <v>445</v>
      </c>
      <c r="J2964" s="7" t="s">
        <v>446</v>
      </c>
      <c r="K2964" s="7" t="s">
        <v>447</v>
      </c>
      <c r="L2964" s="7"/>
      <c r="M2964" s="7" t="s">
        <v>448</v>
      </c>
      <c r="N2964" s="7" t="s">
        <v>604</v>
      </c>
      <c r="O2964" s="7" t="s">
        <v>604</v>
      </c>
    </row>
    <row r="2965" spans="1:15">
      <c r="A2965" s="3" t="s">
        <v>15</v>
      </c>
      <c r="B2965" s="3" t="str">
        <f>"FES11627434498"</f>
        <v>FES11627434498</v>
      </c>
      <c r="C2965" s="3" t="s">
        <v>1966</v>
      </c>
      <c r="D2965" s="3">
        <v>1</v>
      </c>
      <c r="E2965" s="3" t="str">
        <f>"2170734498"</f>
        <v>2170734498</v>
      </c>
      <c r="F2965" s="3" t="s">
        <v>17</v>
      </c>
      <c r="G2965" s="3" t="s">
        <v>18</v>
      </c>
      <c r="H2965" s="3" t="s">
        <v>66</v>
      </c>
      <c r="I2965" s="3" t="s">
        <v>67</v>
      </c>
      <c r="J2965" s="3" t="s">
        <v>1867</v>
      </c>
      <c r="K2965" s="3" t="s">
        <v>2154</v>
      </c>
      <c r="L2965" s="4">
        <v>0.34375</v>
      </c>
      <c r="M2965" s="3" t="s">
        <v>1868</v>
      </c>
      <c r="N2965" s="3" t="s">
        <v>24</v>
      </c>
      <c r="O2965" s="3" t="s">
        <v>25</v>
      </c>
    </row>
    <row r="2966" spans="1:15">
      <c r="A2966" s="3" t="s">
        <v>15</v>
      </c>
      <c r="B2966" s="3" t="str">
        <f>"FES1162743092"</f>
        <v>FES1162743092</v>
      </c>
      <c r="C2966" s="3" t="s">
        <v>1966</v>
      </c>
      <c r="D2966" s="3">
        <v>1</v>
      </c>
      <c r="E2966" s="3" t="str">
        <f>"2170734472"</f>
        <v>2170734472</v>
      </c>
      <c r="F2966" s="3" t="s">
        <v>17</v>
      </c>
      <c r="G2966" s="3" t="s">
        <v>18</v>
      </c>
      <c r="H2966" s="3" t="s">
        <v>19</v>
      </c>
      <c r="I2966" s="3" t="s">
        <v>51</v>
      </c>
      <c r="J2966" s="3" t="s">
        <v>64</v>
      </c>
      <c r="K2966" s="3" t="s">
        <v>2154</v>
      </c>
      <c r="L2966" s="4">
        <v>0.40902777777777777</v>
      </c>
      <c r="M2966" s="3" t="s">
        <v>963</v>
      </c>
      <c r="N2966" s="3" t="s">
        <v>24</v>
      </c>
      <c r="O2966" s="3" t="s">
        <v>25</v>
      </c>
    </row>
    <row r="2967" spans="1:15">
      <c r="A2967" s="3" t="s">
        <v>15</v>
      </c>
      <c r="B2967" s="3" t="str">
        <f>"FES1162743183"</f>
        <v>FES1162743183</v>
      </c>
      <c r="C2967" s="3" t="s">
        <v>1966</v>
      </c>
      <c r="D2967" s="3">
        <v>1</v>
      </c>
      <c r="E2967" s="3" t="str">
        <f>"2170734597"</f>
        <v>2170734597</v>
      </c>
      <c r="F2967" s="3" t="s">
        <v>17</v>
      </c>
      <c r="G2967" s="3" t="s">
        <v>18</v>
      </c>
      <c r="H2967" s="3" t="s">
        <v>66</v>
      </c>
      <c r="I2967" s="3" t="s">
        <v>67</v>
      </c>
      <c r="J2967" s="3" t="s">
        <v>2168</v>
      </c>
      <c r="K2967" s="3" t="s">
        <v>2154</v>
      </c>
      <c r="L2967" s="4">
        <v>0.4236111111111111</v>
      </c>
      <c r="M2967" s="3" t="s">
        <v>2169</v>
      </c>
      <c r="N2967" s="3" t="s">
        <v>24</v>
      </c>
      <c r="O2967" s="3" t="s">
        <v>25</v>
      </c>
    </row>
    <row r="2968" spans="1:15">
      <c r="A2968" s="3" t="s">
        <v>15</v>
      </c>
      <c r="B2968" s="3" t="str">
        <f>"FES1162743132"</f>
        <v>FES1162743132</v>
      </c>
      <c r="C2968" s="3" t="s">
        <v>1966</v>
      </c>
      <c r="D2968" s="3">
        <v>1</v>
      </c>
      <c r="E2968" s="3" t="str">
        <f>"2170734537"</f>
        <v>2170734537</v>
      </c>
      <c r="F2968" s="3" t="s">
        <v>17</v>
      </c>
      <c r="G2968" s="3" t="s">
        <v>18</v>
      </c>
      <c r="H2968" s="3" t="s">
        <v>100</v>
      </c>
      <c r="I2968" s="3" t="s">
        <v>117</v>
      </c>
      <c r="J2968" s="3" t="s">
        <v>1789</v>
      </c>
      <c r="K2968" s="3" t="s">
        <v>2154</v>
      </c>
      <c r="L2968" s="4">
        <v>0.41666666666666669</v>
      </c>
      <c r="M2968" s="3" t="s">
        <v>2010</v>
      </c>
      <c r="N2968" s="3" t="s">
        <v>24</v>
      </c>
      <c r="O2968" s="3" t="s">
        <v>25</v>
      </c>
    </row>
    <row r="2969" spans="1:15">
      <c r="A2969" s="3" t="s">
        <v>15</v>
      </c>
      <c r="B2969" s="3" t="str">
        <f>"FES1162743097"</f>
        <v>FES1162743097</v>
      </c>
      <c r="C2969" s="3" t="s">
        <v>1966</v>
      </c>
      <c r="D2969" s="3">
        <v>1</v>
      </c>
      <c r="E2969" s="3" t="str">
        <f>"2170734479"</f>
        <v>2170734479</v>
      </c>
      <c r="F2969" s="3" t="s">
        <v>17</v>
      </c>
      <c r="G2969" s="3" t="s">
        <v>18</v>
      </c>
      <c r="H2969" s="3" t="s">
        <v>100</v>
      </c>
      <c r="I2969" s="3" t="s">
        <v>101</v>
      </c>
      <c r="J2969" s="3" t="s">
        <v>1097</v>
      </c>
      <c r="K2969" s="3" t="s">
        <v>2154</v>
      </c>
      <c r="L2969" s="4">
        <v>0.33124999999999999</v>
      </c>
      <c r="M2969" s="3" t="s">
        <v>1669</v>
      </c>
      <c r="N2969" s="3" t="s">
        <v>24</v>
      </c>
      <c r="O2969" s="3" t="s">
        <v>25</v>
      </c>
    </row>
    <row r="2970" spans="1:15">
      <c r="A2970" s="3" t="s">
        <v>15</v>
      </c>
      <c r="B2970" s="3" t="str">
        <f>"FES1162743112"</f>
        <v>FES1162743112</v>
      </c>
      <c r="C2970" s="3" t="s">
        <v>1966</v>
      </c>
      <c r="D2970" s="3">
        <v>1</v>
      </c>
      <c r="E2970" s="3" t="str">
        <f>"2170734503"</f>
        <v>2170734503</v>
      </c>
      <c r="F2970" s="3" t="s">
        <v>17</v>
      </c>
      <c r="G2970" s="3" t="s">
        <v>18</v>
      </c>
      <c r="H2970" s="3" t="s">
        <v>100</v>
      </c>
      <c r="I2970" s="3" t="s">
        <v>117</v>
      </c>
      <c r="J2970" s="3" t="s">
        <v>2170</v>
      </c>
      <c r="K2970" s="3" t="s">
        <v>2154</v>
      </c>
      <c r="L2970" s="4">
        <v>0.61249999999999993</v>
      </c>
      <c r="M2970" s="3" t="s">
        <v>2171</v>
      </c>
      <c r="N2970" s="3" t="s">
        <v>24</v>
      </c>
      <c r="O2970" s="3" t="s">
        <v>25</v>
      </c>
    </row>
    <row r="2971" spans="1:15">
      <c r="A2971" s="3" t="s">
        <v>15</v>
      </c>
      <c r="B2971" s="3" t="str">
        <f>"FES1162743087"</f>
        <v>FES1162743087</v>
      </c>
      <c r="C2971" s="3" t="s">
        <v>1966</v>
      </c>
      <c r="D2971" s="3">
        <v>1</v>
      </c>
      <c r="E2971" s="3" t="str">
        <f>"2170733825"</f>
        <v>2170733825</v>
      </c>
      <c r="F2971" s="3" t="s">
        <v>17</v>
      </c>
      <c r="G2971" s="3" t="s">
        <v>18</v>
      </c>
      <c r="H2971" s="3" t="s">
        <v>18</v>
      </c>
      <c r="I2971" s="3" t="s">
        <v>29</v>
      </c>
      <c r="J2971" s="3" t="s">
        <v>618</v>
      </c>
      <c r="K2971" s="3" t="s">
        <v>2154</v>
      </c>
      <c r="L2971" s="4">
        <v>0.3298611111111111</v>
      </c>
      <c r="M2971" s="3" t="s">
        <v>2172</v>
      </c>
      <c r="N2971" s="3" t="s">
        <v>24</v>
      </c>
      <c r="O2971" s="3" t="s">
        <v>25</v>
      </c>
    </row>
    <row r="2972" spans="1:15">
      <c r="A2972" s="3" t="s">
        <v>15</v>
      </c>
      <c r="B2972" s="3" t="str">
        <f>"FES1162743135"</f>
        <v>FES1162743135</v>
      </c>
      <c r="C2972" s="3" t="s">
        <v>1966</v>
      </c>
      <c r="D2972" s="3">
        <v>1</v>
      </c>
      <c r="E2972" s="3" t="str">
        <f>"21707345417"</f>
        <v>21707345417</v>
      </c>
      <c r="F2972" s="3" t="s">
        <v>17</v>
      </c>
      <c r="G2972" s="3" t="s">
        <v>18</v>
      </c>
      <c r="H2972" s="3" t="s">
        <v>100</v>
      </c>
      <c r="I2972" s="3" t="s">
        <v>101</v>
      </c>
      <c r="J2972" s="3" t="s">
        <v>255</v>
      </c>
      <c r="K2972" s="3" t="s">
        <v>2154</v>
      </c>
      <c r="L2972" s="4">
        <v>0.4152777777777778</v>
      </c>
      <c r="M2972" s="3" t="s">
        <v>2173</v>
      </c>
      <c r="N2972" s="3" t="s">
        <v>24</v>
      </c>
      <c r="O2972" s="3" t="s">
        <v>25</v>
      </c>
    </row>
    <row r="2973" spans="1:15">
      <c r="A2973" s="11" t="s">
        <v>15</v>
      </c>
      <c r="B2973" s="11" t="str">
        <f>"FES1162743145"</f>
        <v>FES1162743145</v>
      </c>
      <c r="C2973" s="11" t="s">
        <v>1966</v>
      </c>
      <c r="D2973" s="11">
        <v>1</v>
      </c>
      <c r="E2973" s="11" t="str">
        <f>"2170734528"</f>
        <v>2170734528</v>
      </c>
      <c r="F2973" s="11" t="s">
        <v>17</v>
      </c>
      <c r="G2973" s="11" t="s">
        <v>18</v>
      </c>
      <c r="H2973" s="11" t="s">
        <v>215</v>
      </c>
      <c r="I2973" s="11" t="s">
        <v>2174</v>
      </c>
      <c r="J2973" s="11" t="s">
        <v>2175</v>
      </c>
      <c r="K2973" s="11" t="s">
        <v>447</v>
      </c>
      <c r="L2973" s="11"/>
      <c r="M2973" s="11" t="s">
        <v>448</v>
      </c>
      <c r="N2973" s="11" t="s">
        <v>1675</v>
      </c>
      <c r="O2973" s="11" t="s">
        <v>25</v>
      </c>
    </row>
    <row r="2974" spans="1:15">
      <c r="A2974" s="3" t="s">
        <v>15</v>
      </c>
      <c r="B2974" s="3" t="str">
        <f>"FES1162743084"</f>
        <v>FES1162743084</v>
      </c>
      <c r="C2974" s="3" t="s">
        <v>1966</v>
      </c>
      <c r="D2974" s="3">
        <v>1</v>
      </c>
      <c r="E2974" s="3" t="str">
        <f>"2170732552"</f>
        <v>2170732552</v>
      </c>
      <c r="F2974" s="3" t="s">
        <v>17</v>
      </c>
      <c r="G2974" s="3" t="s">
        <v>18</v>
      </c>
      <c r="H2974" s="3" t="s">
        <v>100</v>
      </c>
      <c r="I2974" s="3" t="s">
        <v>101</v>
      </c>
      <c r="J2974" s="3" t="s">
        <v>1217</v>
      </c>
      <c r="K2974" s="3" t="s">
        <v>2154</v>
      </c>
      <c r="L2974" s="4">
        <v>0.40347222222222223</v>
      </c>
      <c r="M2974" s="3" t="s">
        <v>2176</v>
      </c>
      <c r="N2974" s="3" t="s">
        <v>24</v>
      </c>
      <c r="O2974" s="3" t="s">
        <v>25</v>
      </c>
    </row>
    <row r="2975" spans="1:15">
      <c r="A2975" s="3" t="s">
        <v>15</v>
      </c>
      <c r="B2975" s="3" t="str">
        <f>"FES1162743126"</f>
        <v>FES1162743126</v>
      </c>
      <c r="C2975" s="3" t="s">
        <v>1966</v>
      </c>
      <c r="D2975" s="3">
        <v>1</v>
      </c>
      <c r="E2975" s="3" t="str">
        <f>"2170734522"</f>
        <v>2170734522</v>
      </c>
      <c r="F2975" s="3" t="s">
        <v>17</v>
      </c>
      <c r="G2975" s="3" t="s">
        <v>18</v>
      </c>
      <c r="H2975" s="3" t="s">
        <v>100</v>
      </c>
      <c r="I2975" s="3" t="s">
        <v>117</v>
      </c>
      <c r="J2975" s="3" t="s">
        <v>285</v>
      </c>
      <c r="K2975" s="3" t="s">
        <v>2154</v>
      </c>
      <c r="L2975" s="4">
        <v>0.4777777777777778</v>
      </c>
      <c r="M2975" s="3" t="s">
        <v>286</v>
      </c>
      <c r="N2975" s="3" t="s">
        <v>24</v>
      </c>
      <c r="O2975" s="3" t="s">
        <v>25</v>
      </c>
    </row>
    <row r="2976" spans="1:15">
      <c r="A2976" s="3" t="s">
        <v>15</v>
      </c>
      <c r="B2976" s="3" t="str">
        <f>"FES1162743091"</f>
        <v>FES1162743091</v>
      </c>
      <c r="C2976" s="3" t="s">
        <v>1966</v>
      </c>
      <c r="D2976" s="3">
        <v>1</v>
      </c>
      <c r="E2976" s="3" t="str">
        <f>"2170734461"</f>
        <v>2170734461</v>
      </c>
      <c r="F2976" s="3" t="s">
        <v>17</v>
      </c>
      <c r="G2976" s="3" t="s">
        <v>18</v>
      </c>
      <c r="H2976" s="3" t="s">
        <v>100</v>
      </c>
      <c r="I2976" s="3" t="s">
        <v>262</v>
      </c>
      <c r="J2976" s="3" t="s">
        <v>409</v>
      </c>
      <c r="K2976" s="3" t="s">
        <v>2210</v>
      </c>
      <c r="L2976" s="4">
        <v>0.44097222222222227</v>
      </c>
      <c r="M2976" s="3" t="s">
        <v>409</v>
      </c>
      <c r="N2976" s="3" t="s">
        <v>24</v>
      </c>
      <c r="O2976" s="3" t="s">
        <v>25</v>
      </c>
    </row>
    <row r="2977" spans="1:15">
      <c r="A2977" s="3" t="s">
        <v>15</v>
      </c>
      <c r="B2977" s="3" t="str">
        <f>"FES1162743138"</f>
        <v>FES1162743138</v>
      </c>
      <c r="C2977" s="3" t="s">
        <v>1966</v>
      </c>
      <c r="D2977" s="3">
        <v>1</v>
      </c>
      <c r="E2977" s="3" t="str">
        <f>"2170734545"</f>
        <v>2170734545</v>
      </c>
      <c r="F2977" s="3" t="s">
        <v>17</v>
      </c>
      <c r="G2977" s="3" t="s">
        <v>18</v>
      </c>
      <c r="H2977" s="3" t="s">
        <v>100</v>
      </c>
      <c r="I2977" s="3" t="s">
        <v>101</v>
      </c>
      <c r="J2977" s="3" t="s">
        <v>1285</v>
      </c>
      <c r="K2977" s="3" t="s">
        <v>2154</v>
      </c>
      <c r="L2977" s="4">
        <v>0.41875000000000001</v>
      </c>
      <c r="M2977" s="3" t="s">
        <v>1286</v>
      </c>
      <c r="N2977" s="3" t="s">
        <v>24</v>
      </c>
      <c r="O2977" s="3" t="s">
        <v>25</v>
      </c>
    </row>
    <row r="2978" spans="1:15">
      <c r="A2978" s="3" t="s">
        <v>15</v>
      </c>
      <c r="B2978" s="3" t="str">
        <f>"FES1162743089"</f>
        <v>FES1162743089</v>
      </c>
      <c r="C2978" s="3" t="s">
        <v>1966</v>
      </c>
      <c r="D2978" s="3">
        <v>1</v>
      </c>
      <c r="E2978" s="3" t="str">
        <f>"217034122"</f>
        <v>217034122</v>
      </c>
      <c r="F2978" s="3" t="s">
        <v>17</v>
      </c>
      <c r="G2978" s="3" t="s">
        <v>18</v>
      </c>
      <c r="H2978" s="3" t="s">
        <v>18</v>
      </c>
      <c r="I2978" s="3" t="s">
        <v>151</v>
      </c>
      <c r="J2978" s="3" t="s">
        <v>2177</v>
      </c>
      <c r="K2978" s="3" t="s">
        <v>2154</v>
      </c>
      <c r="L2978" s="4">
        <v>0.39583333333333331</v>
      </c>
      <c r="M2978" s="3" t="s">
        <v>2178</v>
      </c>
      <c r="N2978" s="3" t="s">
        <v>24</v>
      </c>
      <c r="O2978" s="3" t="s">
        <v>25</v>
      </c>
    </row>
    <row r="2979" spans="1:15">
      <c r="A2979" s="3" t="s">
        <v>15</v>
      </c>
      <c r="B2979" s="3" t="str">
        <f>"FES1162743090"</f>
        <v>FES1162743090</v>
      </c>
      <c r="C2979" s="3" t="s">
        <v>1966</v>
      </c>
      <c r="D2979" s="3">
        <v>1</v>
      </c>
      <c r="E2979" s="3" t="str">
        <f>"2170734327"</f>
        <v>2170734327</v>
      </c>
      <c r="F2979" s="3" t="s">
        <v>17</v>
      </c>
      <c r="G2979" s="3" t="s">
        <v>18</v>
      </c>
      <c r="H2979" s="3" t="s">
        <v>66</v>
      </c>
      <c r="I2979" s="3" t="s">
        <v>67</v>
      </c>
      <c r="J2979" s="3" t="s">
        <v>2179</v>
      </c>
      <c r="K2979" s="3" t="s">
        <v>2154</v>
      </c>
      <c r="L2979" s="4">
        <v>0.39930555555555558</v>
      </c>
      <c r="M2979" s="3" t="s">
        <v>2180</v>
      </c>
      <c r="N2979" s="3" t="s">
        <v>24</v>
      </c>
      <c r="O2979" s="3" t="s">
        <v>25</v>
      </c>
    </row>
    <row r="2980" spans="1:15">
      <c r="A2980" s="3" t="s">
        <v>15</v>
      </c>
      <c r="B2980" s="3" t="str">
        <f>"FES1162743116"</f>
        <v>FES1162743116</v>
      </c>
      <c r="C2980" s="3" t="s">
        <v>1966</v>
      </c>
      <c r="D2980" s="3">
        <v>1</v>
      </c>
      <c r="E2980" s="3" t="str">
        <f>"2170734509"</f>
        <v>2170734509</v>
      </c>
      <c r="F2980" s="3" t="s">
        <v>17</v>
      </c>
      <c r="G2980" s="3" t="s">
        <v>18</v>
      </c>
      <c r="H2980" s="3" t="s">
        <v>18</v>
      </c>
      <c r="I2980" s="3" t="s">
        <v>33</v>
      </c>
      <c r="J2980" s="3" t="s">
        <v>93</v>
      </c>
      <c r="K2980" s="3" t="s">
        <v>2154</v>
      </c>
      <c r="L2980" s="4">
        <v>0.41666666666666669</v>
      </c>
      <c r="M2980" s="3" t="s">
        <v>208</v>
      </c>
      <c r="N2980" s="3" t="s">
        <v>24</v>
      </c>
      <c r="O2980" s="3" t="s">
        <v>25</v>
      </c>
    </row>
    <row r="2981" spans="1:15">
      <c r="A2981" s="3" t="s">
        <v>15</v>
      </c>
      <c r="B2981" s="3" t="str">
        <f>"FES1162743117"</f>
        <v>FES1162743117</v>
      </c>
      <c r="C2981" s="3" t="s">
        <v>1966</v>
      </c>
      <c r="D2981" s="3">
        <v>1</v>
      </c>
      <c r="E2981" s="3" t="str">
        <f>"2170734510"</f>
        <v>2170734510</v>
      </c>
      <c r="F2981" s="3" t="s">
        <v>17</v>
      </c>
      <c r="G2981" s="3" t="s">
        <v>18</v>
      </c>
      <c r="H2981" s="3" t="s">
        <v>18</v>
      </c>
      <c r="I2981" s="3" t="s">
        <v>309</v>
      </c>
      <c r="J2981" s="3" t="s">
        <v>278</v>
      </c>
      <c r="K2981" s="3" t="s">
        <v>2154</v>
      </c>
      <c r="L2981" s="4">
        <v>0.35902777777777778</v>
      </c>
      <c r="M2981" s="3" t="s">
        <v>815</v>
      </c>
      <c r="N2981" s="3" t="s">
        <v>24</v>
      </c>
      <c r="O2981" s="3" t="s">
        <v>25</v>
      </c>
    </row>
    <row r="2982" spans="1:15">
      <c r="A2982" s="3" t="s">
        <v>15</v>
      </c>
      <c r="B2982" s="3" t="str">
        <f>"FES1162743148"</f>
        <v>FES1162743148</v>
      </c>
      <c r="C2982" s="3" t="s">
        <v>1966</v>
      </c>
      <c r="D2982" s="3">
        <v>1</v>
      </c>
      <c r="E2982" s="3" t="str">
        <f>"217073455"</f>
        <v>217073455</v>
      </c>
      <c r="F2982" s="3" t="s">
        <v>17</v>
      </c>
      <c r="G2982" s="3" t="s">
        <v>18</v>
      </c>
      <c r="H2982" s="3" t="s">
        <v>18</v>
      </c>
      <c r="I2982" s="3" t="s">
        <v>180</v>
      </c>
      <c r="J2982" s="3" t="s">
        <v>856</v>
      </c>
      <c r="K2982" s="3" t="s">
        <v>2154</v>
      </c>
      <c r="L2982" s="4">
        <v>0.3756944444444445</v>
      </c>
      <c r="M2982" s="3" t="s">
        <v>1709</v>
      </c>
      <c r="N2982" s="3" t="s">
        <v>24</v>
      </c>
      <c r="O2982" s="3" t="s">
        <v>25</v>
      </c>
    </row>
    <row r="2983" spans="1:15">
      <c r="A2983" s="3" t="s">
        <v>15</v>
      </c>
      <c r="B2983" s="3" t="str">
        <f>"FES1162743078"</f>
        <v>FES1162743078</v>
      </c>
      <c r="C2983" s="3" t="s">
        <v>1966</v>
      </c>
      <c r="D2983" s="3">
        <v>1</v>
      </c>
      <c r="E2983" s="3" t="str">
        <f>"2170734455"</f>
        <v>2170734455</v>
      </c>
      <c r="F2983" s="3" t="s">
        <v>17</v>
      </c>
      <c r="G2983" s="3" t="s">
        <v>18</v>
      </c>
      <c r="H2983" s="3" t="s">
        <v>18</v>
      </c>
      <c r="I2983" s="3" t="s">
        <v>29</v>
      </c>
      <c r="J2983" s="3" t="s">
        <v>307</v>
      </c>
      <c r="K2983" s="3" t="s">
        <v>2154</v>
      </c>
      <c r="L2983" s="4">
        <v>0.35138888888888892</v>
      </c>
      <c r="M2983" s="3" t="s">
        <v>308</v>
      </c>
      <c r="N2983" s="3" t="s">
        <v>24</v>
      </c>
      <c r="O2983" s="3" t="s">
        <v>25</v>
      </c>
    </row>
    <row r="2984" spans="1:15">
      <c r="A2984" s="3" t="s">
        <v>15</v>
      </c>
      <c r="B2984" s="3" t="str">
        <f>"FES1162743156"</f>
        <v>FES1162743156</v>
      </c>
      <c r="C2984" s="3" t="s">
        <v>1966</v>
      </c>
      <c r="D2984" s="3">
        <v>1</v>
      </c>
      <c r="E2984" s="3" t="str">
        <f>"2170734564"</f>
        <v>2170734564</v>
      </c>
      <c r="F2984" s="3" t="s">
        <v>17</v>
      </c>
      <c r="G2984" s="3" t="s">
        <v>18</v>
      </c>
      <c r="H2984" s="3" t="s">
        <v>100</v>
      </c>
      <c r="I2984" s="3" t="s">
        <v>101</v>
      </c>
      <c r="J2984" s="3" t="s">
        <v>921</v>
      </c>
      <c r="K2984" s="3" t="s">
        <v>2154</v>
      </c>
      <c r="L2984" s="4">
        <v>0.31736111111111115</v>
      </c>
      <c r="M2984" s="3" t="s">
        <v>2181</v>
      </c>
      <c r="N2984" s="3" t="s">
        <v>24</v>
      </c>
      <c r="O2984" s="3" t="s">
        <v>25</v>
      </c>
    </row>
    <row r="2985" spans="1:15">
      <c r="A2985" s="3" t="s">
        <v>15</v>
      </c>
      <c r="B2985" s="3" t="str">
        <f>"FES1162743144"</f>
        <v>FES1162743144</v>
      </c>
      <c r="C2985" s="3" t="s">
        <v>1966</v>
      </c>
      <c r="D2985" s="3">
        <v>1</v>
      </c>
      <c r="E2985" s="3" t="str">
        <f>"2170734519"</f>
        <v>2170734519</v>
      </c>
      <c r="F2985" s="3" t="s">
        <v>17</v>
      </c>
      <c r="G2985" s="3" t="s">
        <v>18</v>
      </c>
      <c r="H2985" s="3" t="s">
        <v>18</v>
      </c>
      <c r="I2985" s="3" t="s">
        <v>29</v>
      </c>
      <c r="J2985" s="3" t="s">
        <v>74</v>
      </c>
      <c r="K2985" s="3" t="s">
        <v>2154</v>
      </c>
      <c r="L2985" s="4">
        <v>0.38541666666666669</v>
      </c>
      <c r="M2985" s="3" t="s">
        <v>208</v>
      </c>
      <c r="N2985" s="3" t="s">
        <v>24</v>
      </c>
      <c r="O2985" s="3" t="s">
        <v>25</v>
      </c>
    </row>
    <row r="2986" spans="1:15">
      <c r="A2986" s="3" t="s">
        <v>15</v>
      </c>
      <c r="B2986" s="3" t="str">
        <f>"FES1162743154"</f>
        <v>FES1162743154</v>
      </c>
      <c r="C2986" s="3" t="s">
        <v>1966</v>
      </c>
      <c r="D2986" s="3">
        <v>1</v>
      </c>
      <c r="E2986" s="3" t="str">
        <f>"2170734562"</f>
        <v>2170734562</v>
      </c>
      <c r="F2986" s="3" t="s">
        <v>17</v>
      </c>
      <c r="G2986" s="3" t="s">
        <v>18</v>
      </c>
      <c r="H2986" s="3" t="s">
        <v>100</v>
      </c>
      <c r="I2986" s="3" t="s">
        <v>101</v>
      </c>
      <c r="J2986" s="3" t="s">
        <v>131</v>
      </c>
      <c r="K2986" s="3" t="s">
        <v>2154</v>
      </c>
      <c r="L2986" s="4">
        <v>0.35902777777777778</v>
      </c>
      <c r="M2986" s="3" t="s">
        <v>132</v>
      </c>
      <c r="N2986" s="3" t="s">
        <v>24</v>
      </c>
      <c r="O2986" s="3" t="s">
        <v>25</v>
      </c>
    </row>
    <row r="2987" spans="1:15">
      <c r="A2987" s="3" t="s">
        <v>15</v>
      </c>
      <c r="B2987" s="3" t="str">
        <f>"FES1162743118"</f>
        <v>FES1162743118</v>
      </c>
      <c r="C2987" s="3" t="s">
        <v>1966</v>
      </c>
      <c r="D2987" s="3">
        <v>1</v>
      </c>
      <c r="E2987" s="3" t="str">
        <f>"2170734511"</f>
        <v>2170734511</v>
      </c>
      <c r="F2987" s="3" t="s">
        <v>528</v>
      </c>
      <c r="G2987" s="3" t="s">
        <v>948</v>
      </c>
      <c r="H2987" s="3" t="s">
        <v>948</v>
      </c>
      <c r="I2987" s="3" t="s">
        <v>29</v>
      </c>
      <c r="J2987" s="3" t="s">
        <v>980</v>
      </c>
      <c r="K2987" s="3" t="s">
        <v>2154</v>
      </c>
      <c r="L2987" s="4">
        <v>0.30555555555555552</v>
      </c>
      <c r="M2987" s="3" t="s">
        <v>1254</v>
      </c>
      <c r="N2987" s="3" t="s">
        <v>24</v>
      </c>
      <c r="O2987" s="3" t="s">
        <v>25</v>
      </c>
    </row>
    <row r="2988" spans="1:15">
      <c r="A2988" s="3" t="s">
        <v>15</v>
      </c>
      <c r="B2988" s="3" t="str">
        <f>"FES1162743153"</f>
        <v>FES1162743153</v>
      </c>
      <c r="C2988" s="3" t="s">
        <v>1966</v>
      </c>
      <c r="D2988" s="3">
        <v>1</v>
      </c>
      <c r="E2988" s="3" t="str">
        <f>"2170734560"</f>
        <v>2170734560</v>
      </c>
      <c r="F2988" s="3" t="s">
        <v>17</v>
      </c>
      <c r="G2988" s="3" t="s">
        <v>18</v>
      </c>
      <c r="H2988" s="3" t="s">
        <v>18</v>
      </c>
      <c r="I2988" s="3" t="s">
        <v>168</v>
      </c>
      <c r="J2988" s="3" t="s">
        <v>169</v>
      </c>
      <c r="K2988" s="3" t="s">
        <v>2154</v>
      </c>
      <c r="L2988" s="4">
        <v>0.40763888888888888</v>
      </c>
      <c r="M2988" s="3" t="s">
        <v>170</v>
      </c>
      <c r="N2988" s="3" t="s">
        <v>24</v>
      </c>
      <c r="O2988" s="3" t="s">
        <v>25</v>
      </c>
    </row>
    <row r="2989" spans="1:15">
      <c r="A2989" s="3" t="s">
        <v>15</v>
      </c>
      <c r="B2989" s="3" t="str">
        <f>"FES1162743180"</f>
        <v>FES1162743180</v>
      </c>
      <c r="C2989" s="3" t="s">
        <v>1966</v>
      </c>
      <c r="D2989" s="3">
        <v>1</v>
      </c>
      <c r="E2989" s="3" t="str">
        <f>"2170734579"</f>
        <v>2170734579</v>
      </c>
      <c r="F2989" s="3" t="s">
        <v>17</v>
      </c>
      <c r="G2989" s="3" t="s">
        <v>18</v>
      </c>
      <c r="H2989" s="3" t="s">
        <v>18</v>
      </c>
      <c r="I2989" s="3" t="s">
        <v>29</v>
      </c>
      <c r="J2989" s="3" t="s">
        <v>493</v>
      </c>
      <c r="K2989" s="3" t="s">
        <v>2154</v>
      </c>
      <c r="L2989" s="4">
        <v>0.2951388888888889</v>
      </c>
      <c r="M2989" s="3" t="s">
        <v>2182</v>
      </c>
      <c r="N2989" s="3" t="s">
        <v>24</v>
      </c>
      <c r="O2989" s="3" t="s">
        <v>25</v>
      </c>
    </row>
    <row r="2990" spans="1:15">
      <c r="A2990" s="3" t="s">
        <v>15</v>
      </c>
      <c r="B2990" s="3" t="str">
        <f>"FES1162743160"</f>
        <v>FES1162743160</v>
      </c>
      <c r="C2990" s="3" t="s">
        <v>1966</v>
      </c>
      <c r="D2990" s="3">
        <v>1</v>
      </c>
      <c r="E2990" s="3" t="str">
        <f>"2170734568"</f>
        <v>2170734568</v>
      </c>
      <c r="F2990" s="3" t="s">
        <v>17</v>
      </c>
      <c r="G2990" s="3" t="s">
        <v>18</v>
      </c>
      <c r="H2990" s="3" t="s">
        <v>100</v>
      </c>
      <c r="I2990" s="3" t="s">
        <v>101</v>
      </c>
      <c r="J2990" s="3" t="s">
        <v>265</v>
      </c>
      <c r="K2990" s="3" t="s">
        <v>2154</v>
      </c>
      <c r="L2990" s="4">
        <v>0.33124999999999999</v>
      </c>
      <c r="M2990" s="3" t="s">
        <v>938</v>
      </c>
      <c r="N2990" s="3" t="s">
        <v>24</v>
      </c>
      <c r="O2990" s="3" t="s">
        <v>25</v>
      </c>
    </row>
    <row r="2991" spans="1:15">
      <c r="A2991" s="3" t="s">
        <v>15</v>
      </c>
      <c r="B2991" s="3" t="str">
        <f>"FES1162743108"</f>
        <v>FES1162743108</v>
      </c>
      <c r="C2991" s="3" t="s">
        <v>1966</v>
      </c>
      <c r="D2991" s="3">
        <v>1</v>
      </c>
      <c r="E2991" s="3" t="str">
        <f>"2170734471"</f>
        <v>2170734471</v>
      </c>
      <c r="F2991" s="3" t="s">
        <v>17</v>
      </c>
      <c r="G2991" s="3" t="s">
        <v>18</v>
      </c>
      <c r="H2991" s="3" t="s">
        <v>18</v>
      </c>
      <c r="I2991" s="3" t="s">
        <v>171</v>
      </c>
      <c r="J2991" s="3" t="s">
        <v>1599</v>
      </c>
      <c r="K2991" s="3" t="s">
        <v>2154</v>
      </c>
      <c r="L2991" s="4">
        <v>0.34097222222222223</v>
      </c>
      <c r="M2991" s="3" t="s">
        <v>1664</v>
      </c>
      <c r="N2991" s="3" t="s">
        <v>24</v>
      </c>
      <c r="O2991" s="3" t="s">
        <v>25</v>
      </c>
    </row>
    <row r="2992" spans="1:15">
      <c r="A2992" s="3" t="s">
        <v>15</v>
      </c>
      <c r="B2992" s="3" t="str">
        <f>"FES1162743124"</f>
        <v>FES1162743124</v>
      </c>
      <c r="C2992" s="3" t="s">
        <v>1966</v>
      </c>
      <c r="D2992" s="3">
        <v>1</v>
      </c>
      <c r="E2992" s="3" t="str">
        <f>"2170734517"</f>
        <v>2170734517</v>
      </c>
      <c r="F2992" s="3" t="s">
        <v>17</v>
      </c>
      <c r="G2992" s="3" t="s">
        <v>18</v>
      </c>
      <c r="H2992" s="3" t="s">
        <v>18</v>
      </c>
      <c r="I2992" s="3" t="s">
        <v>33</v>
      </c>
      <c r="J2992" s="3" t="s">
        <v>34</v>
      </c>
      <c r="K2992" s="3" t="s">
        <v>2154</v>
      </c>
      <c r="L2992" s="4">
        <v>0.35694444444444445</v>
      </c>
      <c r="M2992" s="3" t="s">
        <v>1672</v>
      </c>
      <c r="N2992" s="3" t="s">
        <v>24</v>
      </c>
      <c r="O2992" s="3" t="s">
        <v>25</v>
      </c>
    </row>
    <row r="2993" spans="1:15">
      <c r="A2993" s="3" t="s">
        <v>15</v>
      </c>
      <c r="B2993" s="3" t="str">
        <f>"FES1162743131"</f>
        <v>FES1162743131</v>
      </c>
      <c r="C2993" s="3" t="s">
        <v>1966</v>
      </c>
      <c r="D2993" s="3">
        <v>1</v>
      </c>
      <c r="E2993" s="3" t="str">
        <f>"2170734505"</f>
        <v>2170734505</v>
      </c>
      <c r="F2993" s="3" t="s">
        <v>17</v>
      </c>
      <c r="G2993" s="3" t="s">
        <v>18</v>
      </c>
      <c r="H2993" s="3" t="s">
        <v>18</v>
      </c>
      <c r="I2993" s="3" t="s">
        <v>168</v>
      </c>
      <c r="J2993" s="3" t="s">
        <v>2026</v>
      </c>
      <c r="K2993" s="3" t="s">
        <v>2154</v>
      </c>
      <c r="L2993" s="4">
        <v>0.34166666666666662</v>
      </c>
      <c r="M2993" s="3" t="s">
        <v>2183</v>
      </c>
      <c r="N2993" s="3" t="s">
        <v>24</v>
      </c>
      <c r="O2993" s="3" t="s">
        <v>25</v>
      </c>
    </row>
    <row r="2994" spans="1:15">
      <c r="A2994" s="3" t="s">
        <v>15</v>
      </c>
      <c r="B2994" s="3" t="str">
        <f>"FES1162743179"</f>
        <v>FES1162743179</v>
      </c>
      <c r="C2994" s="3" t="s">
        <v>1966</v>
      </c>
      <c r="D2994" s="3">
        <v>1</v>
      </c>
      <c r="E2994" s="3" t="str">
        <f>"2170734594"</f>
        <v>2170734594</v>
      </c>
      <c r="F2994" s="3" t="s">
        <v>17</v>
      </c>
      <c r="G2994" s="3" t="s">
        <v>18</v>
      </c>
      <c r="H2994" s="3" t="s">
        <v>100</v>
      </c>
      <c r="I2994" s="3" t="s">
        <v>101</v>
      </c>
      <c r="J2994" s="3" t="s">
        <v>1427</v>
      </c>
      <c r="K2994" s="3" t="s">
        <v>2154</v>
      </c>
      <c r="L2994" s="4">
        <v>0.39374999999999999</v>
      </c>
      <c r="M2994" s="3" t="s">
        <v>2184</v>
      </c>
      <c r="N2994" s="3" t="s">
        <v>24</v>
      </c>
      <c r="O2994" s="3" t="s">
        <v>25</v>
      </c>
    </row>
    <row r="2995" spans="1:15">
      <c r="A2995" s="3" t="s">
        <v>15</v>
      </c>
      <c r="B2995" s="3" t="str">
        <f>"FES1162743178"</f>
        <v>FES1162743178</v>
      </c>
      <c r="C2995" s="3" t="s">
        <v>1966</v>
      </c>
      <c r="D2995" s="3">
        <v>1</v>
      </c>
      <c r="E2995" s="3" t="str">
        <f>"2170734593"</f>
        <v>2170734593</v>
      </c>
      <c r="F2995" s="3" t="s">
        <v>17</v>
      </c>
      <c r="G2995" s="3" t="s">
        <v>18</v>
      </c>
      <c r="H2995" s="3" t="s">
        <v>100</v>
      </c>
      <c r="I2995" s="3" t="s">
        <v>101</v>
      </c>
      <c r="J2995" s="3" t="s">
        <v>1427</v>
      </c>
      <c r="K2995" s="3" t="s">
        <v>2154</v>
      </c>
      <c r="L2995" s="4">
        <v>0.39374999999999999</v>
      </c>
      <c r="M2995" s="3" t="s">
        <v>2184</v>
      </c>
      <c r="N2995" s="3" t="s">
        <v>24</v>
      </c>
      <c r="O2995" s="3" t="s">
        <v>25</v>
      </c>
    </row>
    <row r="2996" spans="1:15">
      <c r="A2996" s="3" t="s">
        <v>15</v>
      </c>
      <c r="B2996" s="3" t="str">
        <f>"FES1162743167"</f>
        <v>FES1162743167</v>
      </c>
      <c r="C2996" s="3" t="s">
        <v>1966</v>
      </c>
      <c r="D2996" s="3">
        <v>1</v>
      </c>
      <c r="E2996" s="3" t="str">
        <f>"2170734582"</f>
        <v>2170734582</v>
      </c>
      <c r="F2996" s="3" t="s">
        <v>17</v>
      </c>
      <c r="G2996" s="3" t="s">
        <v>18</v>
      </c>
      <c r="H2996" s="3" t="s">
        <v>100</v>
      </c>
      <c r="I2996" s="3" t="s">
        <v>987</v>
      </c>
      <c r="J2996" s="3" t="s">
        <v>1965</v>
      </c>
      <c r="K2996" s="3" t="s">
        <v>2210</v>
      </c>
      <c r="L2996" s="4">
        <v>0.4548611111111111</v>
      </c>
      <c r="M2996" s="3" t="s">
        <v>1967</v>
      </c>
      <c r="N2996" s="3" t="s">
        <v>24</v>
      </c>
      <c r="O2996" s="3" t="s">
        <v>25</v>
      </c>
    </row>
    <row r="2997" spans="1:15">
      <c r="A2997" s="3" t="s">
        <v>15</v>
      </c>
      <c r="B2997" s="3" t="str">
        <f>"FES1162743127"</f>
        <v>FES1162743127</v>
      </c>
      <c r="C2997" s="3" t="s">
        <v>1966</v>
      </c>
      <c r="D2997" s="3">
        <v>1</v>
      </c>
      <c r="E2997" s="3" t="str">
        <f>"2170734523"</f>
        <v>2170734523</v>
      </c>
      <c r="F2997" s="3" t="s">
        <v>17</v>
      </c>
      <c r="G2997" s="3" t="s">
        <v>18</v>
      </c>
      <c r="H2997" s="3" t="s">
        <v>18</v>
      </c>
      <c r="I2997" s="3" t="s">
        <v>29</v>
      </c>
      <c r="J2997" s="3" t="s">
        <v>307</v>
      </c>
      <c r="K2997" s="3" t="s">
        <v>2154</v>
      </c>
      <c r="L2997" s="4">
        <v>0.35069444444444442</v>
      </c>
      <c r="M2997" s="3" t="s">
        <v>308</v>
      </c>
      <c r="N2997" s="3" t="s">
        <v>24</v>
      </c>
      <c r="O2997" s="3" t="s">
        <v>25</v>
      </c>
    </row>
    <row r="2998" spans="1:15">
      <c r="A2998" s="3" t="s">
        <v>15</v>
      </c>
      <c r="B2998" s="3" t="str">
        <f>"FES1162743162"</f>
        <v>FES1162743162</v>
      </c>
      <c r="C2998" s="3" t="s">
        <v>1966</v>
      </c>
      <c r="D2998" s="3">
        <v>1</v>
      </c>
      <c r="E2998" s="3" t="str">
        <f>"2170734571"</f>
        <v>2170734571</v>
      </c>
      <c r="F2998" s="3" t="s">
        <v>17</v>
      </c>
      <c r="G2998" s="3" t="s">
        <v>18</v>
      </c>
      <c r="H2998" s="3" t="s">
        <v>18</v>
      </c>
      <c r="I2998" s="3" t="s">
        <v>338</v>
      </c>
      <c r="J2998" s="3" t="s">
        <v>512</v>
      </c>
      <c r="K2998" s="3" t="s">
        <v>2154</v>
      </c>
      <c r="L2998" s="4">
        <v>0.37152777777777773</v>
      </c>
      <c r="M2998" s="3" t="s">
        <v>1872</v>
      </c>
      <c r="N2998" s="3" t="s">
        <v>24</v>
      </c>
      <c r="O2998" s="3" t="s">
        <v>25</v>
      </c>
    </row>
    <row r="2999" spans="1:15">
      <c r="A2999" s="3" t="s">
        <v>15</v>
      </c>
      <c r="B2999" s="3" t="str">
        <f>"FES1162743142"</f>
        <v>FES1162743142</v>
      </c>
      <c r="C2999" s="3" t="s">
        <v>1966</v>
      </c>
      <c r="D2999" s="3">
        <v>1</v>
      </c>
      <c r="E2999" s="3" t="str">
        <f>"2170734553"</f>
        <v>2170734553</v>
      </c>
      <c r="F2999" s="3" t="s">
        <v>17</v>
      </c>
      <c r="G2999" s="3" t="s">
        <v>18</v>
      </c>
      <c r="H2999" s="3" t="s">
        <v>40</v>
      </c>
      <c r="I2999" s="3" t="s">
        <v>431</v>
      </c>
      <c r="J2999" s="3" t="s">
        <v>2186</v>
      </c>
      <c r="K2999" s="3" t="s">
        <v>2154</v>
      </c>
      <c r="L2999" s="4">
        <v>0.39027777777777778</v>
      </c>
      <c r="M2999" s="3" t="s">
        <v>2187</v>
      </c>
      <c r="N2999" s="3" t="s">
        <v>24</v>
      </c>
      <c r="O2999" s="3" t="s">
        <v>25</v>
      </c>
    </row>
    <row r="3000" spans="1:15">
      <c r="A3000" s="3" t="s">
        <v>15</v>
      </c>
      <c r="B3000" s="3" t="str">
        <f>"FES1162743080"</f>
        <v>FES1162743080</v>
      </c>
      <c r="C3000" s="3" t="s">
        <v>1966</v>
      </c>
      <c r="D3000" s="3">
        <v>1</v>
      </c>
      <c r="E3000" s="3" t="str">
        <f>"2170734457"</f>
        <v>2170734457</v>
      </c>
      <c r="F3000" s="3" t="s">
        <v>17</v>
      </c>
      <c r="G3000" s="3" t="s">
        <v>18</v>
      </c>
      <c r="H3000" s="3" t="s">
        <v>18</v>
      </c>
      <c r="I3000" s="3" t="s">
        <v>222</v>
      </c>
      <c r="J3000" s="3" t="s">
        <v>397</v>
      </c>
      <c r="K3000" s="3" t="s">
        <v>2154</v>
      </c>
      <c r="L3000" s="4">
        <v>0.33680555555555558</v>
      </c>
      <c r="M3000" s="3" t="s">
        <v>2188</v>
      </c>
      <c r="N3000" s="3" t="s">
        <v>24</v>
      </c>
      <c r="O3000" s="3" t="s">
        <v>25</v>
      </c>
    </row>
    <row r="3001" spans="1:15">
      <c r="A3001" s="3" t="s">
        <v>15</v>
      </c>
      <c r="B3001" s="3" t="str">
        <f>"FES1162743088"</f>
        <v>FES1162743088</v>
      </c>
      <c r="C3001" s="3" t="s">
        <v>1966</v>
      </c>
      <c r="D3001" s="3">
        <v>1</v>
      </c>
      <c r="E3001" s="3" t="str">
        <f>"2170733854"</f>
        <v>2170733854</v>
      </c>
      <c r="F3001" s="3" t="s">
        <v>17</v>
      </c>
      <c r="G3001" s="3" t="s">
        <v>18</v>
      </c>
      <c r="H3001" s="3" t="s">
        <v>18</v>
      </c>
      <c r="I3001" s="3" t="s">
        <v>151</v>
      </c>
      <c r="J3001" s="3" t="s">
        <v>770</v>
      </c>
      <c r="K3001" s="3" t="s">
        <v>2154</v>
      </c>
      <c r="L3001" s="4">
        <v>0.33333333333333331</v>
      </c>
      <c r="M3001" s="3" t="s">
        <v>2189</v>
      </c>
      <c r="N3001" s="3" t="s">
        <v>24</v>
      </c>
      <c r="O3001" s="3" t="s">
        <v>25</v>
      </c>
    </row>
    <row r="3002" spans="1:15">
      <c r="A3002" s="3" t="s">
        <v>15</v>
      </c>
      <c r="B3002" s="3" t="str">
        <f>"FES1162743161"</f>
        <v>FES1162743161</v>
      </c>
      <c r="C3002" s="3" t="s">
        <v>1966</v>
      </c>
      <c r="D3002" s="3">
        <v>1</v>
      </c>
      <c r="E3002" s="3" t="str">
        <f>"2170734569"</f>
        <v>2170734569</v>
      </c>
      <c r="F3002" s="3" t="s">
        <v>17</v>
      </c>
      <c r="G3002" s="3" t="s">
        <v>18</v>
      </c>
      <c r="H3002" s="3" t="s">
        <v>18</v>
      </c>
      <c r="I3002" s="3" t="s">
        <v>33</v>
      </c>
      <c r="J3002" s="3" t="s">
        <v>1650</v>
      </c>
      <c r="K3002" s="3" t="s">
        <v>2154</v>
      </c>
      <c r="L3002" s="4">
        <v>0.31111111111111112</v>
      </c>
      <c r="M3002" s="3" t="s">
        <v>2190</v>
      </c>
      <c r="N3002" s="3" t="s">
        <v>24</v>
      </c>
      <c r="O3002" s="3" t="s">
        <v>25</v>
      </c>
    </row>
    <row r="3003" spans="1:15">
      <c r="A3003" s="3" t="s">
        <v>15</v>
      </c>
      <c r="B3003" s="3" t="str">
        <f>"FES1162743093"</f>
        <v>FES1162743093</v>
      </c>
      <c r="C3003" s="3" t="s">
        <v>1966</v>
      </c>
      <c r="D3003" s="3">
        <v>1</v>
      </c>
      <c r="E3003" s="3" t="str">
        <f>"2170734473"</f>
        <v>2170734473</v>
      </c>
      <c r="F3003" s="3" t="s">
        <v>17</v>
      </c>
      <c r="G3003" s="3" t="s">
        <v>18</v>
      </c>
      <c r="H3003" s="3" t="s">
        <v>18</v>
      </c>
      <c r="I3003" s="3" t="s">
        <v>171</v>
      </c>
      <c r="J3003" s="3" t="s">
        <v>2191</v>
      </c>
      <c r="K3003" s="3" t="s">
        <v>2154</v>
      </c>
      <c r="L3003" s="4">
        <v>0.34583333333333338</v>
      </c>
      <c r="M3003" s="3" t="s">
        <v>1663</v>
      </c>
      <c r="N3003" s="3" t="s">
        <v>24</v>
      </c>
      <c r="O3003" s="3" t="s">
        <v>25</v>
      </c>
    </row>
    <row r="3004" spans="1:15">
      <c r="A3004" s="3" t="s">
        <v>15</v>
      </c>
      <c r="B3004" s="3" t="str">
        <f>"FES1162743106"</f>
        <v>FES1162743106</v>
      </c>
      <c r="C3004" s="3" t="s">
        <v>1966</v>
      </c>
      <c r="D3004" s="3">
        <v>1</v>
      </c>
      <c r="E3004" s="3" t="str">
        <f>"2170734421"</f>
        <v>2170734421</v>
      </c>
      <c r="F3004" s="3" t="s">
        <v>17</v>
      </c>
      <c r="G3004" s="3" t="s">
        <v>18</v>
      </c>
      <c r="H3004" s="3" t="s">
        <v>18</v>
      </c>
      <c r="I3004" s="3" t="s">
        <v>180</v>
      </c>
      <c r="J3004" s="3" t="s">
        <v>856</v>
      </c>
      <c r="K3004" s="3" t="s">
        <v>2154</v>
      </c>
      <c r="L3004" s="4">
        <v>0.37083333333333335</v>
      </c>
      <c r="M3004" s="3" t="s">
        <v>1709</v>
      </c>
      <c r="N3004" s="3" t="s">
        <v>24</v>
      </c>
      <c r="O3004" s="3" t="s">
        <v>25</v>
      </c>
    </row>
    <row r="3005" spans="1:15">
      <c r="A3005" s="3" t="s">
        <v>15</v>
      </c>
      <c r="B3005" s="3" t="str">
        <f>"FES1162743170"</f>
        <v>FES1162743170</v>
      </c>
      <c r="C3005" s="3" t="s">
        <v>1966</v>
      </c>
      <c r="D3005" s="3">
        <v>1</v>
      </c>
      <c r="E3005" s="3" t="str">
        <f>"2170734586"</f>
        <v>2170734586</v>
      </c>
      <c r="F3005" s="3" t="s">
        <v>17</v>
      </c>
      <c r="G3005" s="3" t="s">
        <v>18</v>
      </c>
      <c r="H3005" s="3" t="s">
        <v>18</v>
      </c>
      <c r="I3005" s="3" t="s">
        <v>171</v>
      </c>
      <c r="J3005" s="3" t="s">
        <v>2192</v>
      </c>
      <c r="K3005" s="3" t="s">
        <v>2154</v>
      </c>
      <c r="L3005" s="4">
        <v>0.3354166666666667</v>
      </c>
      <c r="M3005" s="3" t="s">
        <v>2002</v>
      </c>
      <c r="N3005" s="3" t="s">
        <v>24</v>
      </c>
      <c r="O3005" s="3" t="s">
        <v>25</v>
      </c>
    </row>
    <row r="3006" spans="1:15">
      <c r="A3006" s="3" t="s">
        <v>15</v>
      </c>
      <c r="B3006" s="3" t="str">
        <f>"FES1162743202"</f>
        <v>FES1162743202</v>
      </c>
      <c r="C3006" s="3" t="s">
        <v>1966</v>
      </c>
      <c r="D3006" s="3">
        <v>1</v>
      </c>
      <c r="E3006" s="3" t="str">
        <f>"2170734623"</f>
        <v>2170734623</v>
      </c>
      <c r="F3006" s="3" t="s">
        <v>17</v>
      </c>
      <c r="G3006" s="3" t="s">
        <v>18</v>
      </c>
      <c r="H3006" s="3" t="s">
        <v>18</v>
      </c>
      <c r="I3006" s="3" t="s">
        <v>338</v>
      </c>
      <c r="J3006" s="3" t="s">
        <v>2193</v>
      </c>
      <c r="K3006" s="3" t="s">
        <v>2154</v>
      </c>
      <c r="L3006" s="4">
        <v>0.38750000000000001</v>
      </c>
      <c r="M3006" s="3" t="s">
        <v>2194</v>
      </c>
      <c r="N3006" s="3" t="s">
        <v>24</v>
      </c>
      <c r="O3006" s="3" t="s">
        <v>25</v>
      </c>
    </row>
    <row r="3007" spans="1:15">
      <c r="A3007" s="3" t="s">
        <v>15</v>
      </c>
      <c r="B3007" s="3" t="str">
        <f>"FES1162743194"</f>
        <v>FES1162743194</v>
      </c>
      <c r="C3007" s="3" t="s">
        <v>1966</v>
      </c>
      <c r="D3007" s="3">
        <v>1</v>
      </c>
      <c r="E3007" s="3" t="str">
        <f>"2170734611"</f>
        <v>2170734611</v>
      </c>
      <c r="F3007" s="3" t="s">
        <v>17</v>
      </c>
      <c r="G3007" s="3" t="s">
        <v>18</v>
      </c>
      <c r="H3007" s="3" t="s">
        <v>100</v>
      </c>
      <c r="I3007" s="3" t="s">
        <v>101</v>
      </c>
      <c r="J3007" s="3" t="s">
        <v>1217</v>
      </c>
      <c r="K3007" s="3" t="s">
        <v>2154</v>
      </c>
      <c r="L3007" s="4">
        <v>0.40347222222222223</v>
      </c>
      <c r="M3007" s="3" t="s">
        <v>2176</v>
      </c>
      <c r="N3007" s="3" t="s">
        <v>24</v>
      </c>
      <c r="O3007" s="3" t="s">
        <v>25</v>
      </c>
    </row>
    <row r="3008" spans="1:15">
      <c r="A3008" s="3" t="s">
        <v>15</v>
      </c>
      <c r="B3008" s="3" t="str">
        <f>"FES1162743185"</f>
        <v>FES1162743185</v>
      </c>
      <c r="C3008" s="3" t="s">
        <v>1966</v>
      </c>
      <c r="D3008" s="3">
        <v>1</v>
      </c>
      <c r="E3008" s="3" t="str">
        <f>"2170734601"</f>
        <v>2170734601</v>
      </c>
      <c r="F3008" s="3" t="s">
        <v>17</v>
      </c>
      <c r="G3008" s="3" t="s">
        <v>18</v>
      </c>
      <c r="H3008" s="3" t="s">
        <v>100</v>
      </c>
      <c r="I3008" s="3" t="s">
        <v>262</v>
      </c>
      <c r="J3008" s="3" t="s">
        <v>409</v>
      </c>
      <c r="K3008" s="3" t="s">
        <v>2210</v>
      </c>
      <c r="L3008" s="4">
        <v>0.44097222222222227</v>
      </c>
      <c r="M3008" s="3" t="s">
        <v>409</v>
      </c>
      <c r="N3008" s="3" t="s">
        <v>24</v>
      </c>
      <c r="O3008" s="3" t="s">
        <v>25</v>
      </c>
    </row>
    <row r="3009" spans="1:15">
      <c r="A3009" s="3" t="s">
        <v>15</v>
      </c>
      <c r="B3009" s="3" t="str">
        <f>"FES1162743208"</f>
        <v>FES1162743208</v>
      </c>
      <c r="C3009" s="3" t="s">
        <v>1966</v>
      </c>
      <c r="D3009" s="3">
        <v>1</v>
      </c>
      <c r="E3009" s="3" t="str">
        <f>"2170734636"</f>
        <v>2170734636</v>
      </c>
      <c r="F3009" s="3" t="s">
        <v>17</v>
      </c>
      <c r="G3009" s="3" t="s">
        <v>18</v>
      </c>
      <c r="H3009" s="3" t="s">
        <v>18</v>
      </c>
      <c r="I3009" s="3" t="s">
        <v>171</v>
      </c>
      <c r="J3009" s="3" t="s">
        <v>353</v>
      </c>
      <c r="K3009" s="3" t="s">
        <v>2154</v>
      </c>
      <c r="L3009" s="4">
        <v>0.2986111111111111</v>
      </c>
      <c r="M3009" s="3" t="s">
        <v>1713</v>
      </c>
      <c r="N3009" s="3" t="s">
        <v>24</v>
      </c>
      <c r="O3009" s="3" t="s">
        <v>25</v>
      </c>
    </row>
    <row r="3010" spans="1:15">
      <c r="A3010" s="3" t="s">
        <v>15</v>
      </c>
      <c r="B3010" s="3" t="str">
        <f>"FES1162743177"</f>
        <v>FES1162743177</v>
      </c>
      <c r="C3010" s="3" t="s">
        <v>1966</v>
      </c>
      <c r="D3010" s="3">
        <v>1</v>
      </c>
      <c r="E3010" s="3" t="str">
        <f>"2170734592"</f>
        <v>2170734592</v>
      </c>
      <c r="F3010" s="3" t="s">
        <v>17</v>
      </c>
      <c r="G3010" s="3" t="s">
        <v>18</v>
      </c>
      <c r="H3010" s="3" t="s">
        <v>18</v>
      </c>
      <c r="I3010" s="3" t="s">
        <v>151</v>
      </c>
      <c r="J3010" s="3" t="s">
        <v>766</v>
      </c>
      <c r="K3010" s="3" t="s">
        <v>2154</v>
      </c>
      <c r="L3010" s="4">
        <v>0.35416666666666669</v>
      </c>
      <c r="M3010" s="3" t="s">
        <v>767</v>
      </c>
      <c r="N3010" s="3" t="s">
        <v>24</v>
      </c>
      <c r="O3010" s="3" t="s">
        <v>25</v>
      </c>
    </row>
    <row r="3011" spans="1:15">
      <c r="A3011" s="3" t="s">
        <v>15</v>
      </c>
      <c r="B3011" s="3" t="str">
        <f>"FES1162743196"</f>
        <v>FES1162743196</v>
      </c>
      <c r="C3011" s="3" t="s">
        <v>1966</v>
      </c>
      <c r="D3011" s="3">
        <v>1</v>
      </c>
      <c r="E3011" s="3" t="str">
        <f>"2170734613"</f>
        <v>2170734613</v>
      </c>
      <c r="F3011" s="3" t="s">
        <v>17</v>
      </c>
      <c r="G3011" s="3" t="s">
        <v>18</v>
      </c>
      <c r="H3011" s="3" t="s">
        <v>18</v>
      </c>
      <c r="I3011" s="3" t="s">
        <v>29</v>
      </c>
      <c r="J3011" s="3" t="s">
        <v>679</v>
      </c>
      <c r="K3011" s="3" t="s">
        <v>2154</v>
      </c>
      <c r="L3011" s="4">
        <v>0.3125</v>
      </c>
      <c r="M3011" s="3" t="s">
        <v>1336</v>
      </c>
      <c r="N3011" s="3" t="s">
        <v>24</v>
      </c>
      <c r="O3011" s="3" t="s">
        <v>25</v>
      </c>
    </row>
    <row r="3012" spans="1:15">
      <c r="A3012" s="3" t="s">
        <v>15</v>
      </c>
      <c r="B3012" s="3" t="str">
        <f>"FES1162743107"</f>
        <v>FES1162743107</v>
      </c>
      <c r="C3012" s="3" t="s">
        <v>1966</v>
      </c>
      <c r="D3012" s="3">
        <v>1</v>
      </c>
      <c r="E3012" s="3" t="str">
        <f>"2170734468"</f>
        <v>2170734468</v>
      </c>
      <c r="F3012" s="3" t="s">
        <v>17</v>
      </c>
      <c r="G3012" s="3" t="s">
        <v>18</v>
      </c>
      <c r="H3012" s="3" t="s">
        <v>18</v>
      </c>
      <c r="I3012" s="3" t="s">
        <v>180</v>
      </c>
      <c r="J3012" s="3" t="s">
        <v>405</v>
      </c>
      <c r="K3012" s="3" t="s">
        <v>2154</v>
      </c>
      <c r="L3012" s="4">
        <v>0.33333333333333331</v>
      </c>
      <c r="M3012" s="3" t="s">
        <v>2195</v>
      </c>
      <c r="N3012" s="3" t="s">
        <v>24</v>
      </c>
      <c r="O3012" s="3" t="s">
        <v>25</v>
      </c>
    </row>
    <row r="3013" spans="1:15">
      <c r="A3013" s="3" t="s">
        <v>15</v>
      </c>
      <c r="B3013" s="3" t="str">
        <f>"FES1162743195"</f>
        <v>FES1162743195</v>
      </c>
      <c r="C3013" s="3" t="s">
        <v>1966</v>
      </c>
      <c r="D3013" s="3">
        <v>1</v>
      </c>
      <c r="E3013" s="3" t="str">
        <f>"2170734612"</f>
        <v>2170734612</v>
      </c>
      <c r="F3013" s="3" t="s">
        <v>17</v>
      </c>
      <c r="G3013" s="3" t="s">
        <v>18</v>
      </c>
      <c r="H3013" s="3" t="s">
        <v>100</v>
      </c>
      <c r="I3013" s="3" t="s">
        <v>101</v>
      </c>
      <c r="J3013" s="3" t="s">
        <v>131</v>
      </c>
      <c r="K3013" s="3" t="s">
        <v>2154</v>
      </c>
      <c r="L3013" s="4">
        <v>0.35902777777777778</v>
      </c>
      <c r="M3013" s="3" t="s">
        <v>132</v>
      </c>
      <c r="N3013" s="3" t="s">
        <v>24</v>
      </c>
      <c r="O3013" s="3" t="s">
        <v>25</v>
      </c>
    </row>
    <row r="3014" spans="1:15">
      <c r="A3014" s="3" t="s">
        <v>15</v>
      </c>
      <c r="B3014" s="3" t="str">
        <f>"FES1162743214"</f>
        <v>FES1162743214</v>
      </c>
      <c r="C3014" s="3" t="s">
        <v>1966</v>
      </c>
      <c r="D3014" s="3">
        <v>1</v>
      </c>
      <c r="E3014" s="3" t="str">
        <f>"2170734644"</f>
        <v>2170734644</v>
      </c>
      <c r="F3014" s="3" t="s">
        <v>17</v>
      </c>
      <c r="G3014" s="3" t="s">
        <v>18</v>
      </c>
      <c r="H3014" s="3" t="s">
        <v>18</v>
      </c>
      <c r="I3014" s="3" t="s">
        <v>29</v>
      </c>
      <c r="J3014" s="3" t="s">
        <v>618</v>
      </c>
      <c r="K3014" s="3" t="s">
        <v>2154</v>
      </c>
      <c r="L3014" s="4">
        <v>0.3263888888888889</v>
      </c>
      <c r="M3014" s="3" t="s">
        <v>619</v>
      </c>
      <c r="N3014" s="3" t="s">
        <v>24</v>
      </c>
      <c r="O3014" s="3" t="s">
        <v>25</v>
      </c>
    </row>
    <row r="3015" spans="1:15">
      <c r="A3015" s="3" t="s">
        <v>15</v>
      </c>
      <c r="B3015" s="3" t="str">
        <f>"FES1162743206"</f>
        <v>FES1162743206</v>
      </c>
      <c r="C3015" s="3" t="s">
        <v>1966</v>
      </c>
      <c r="D3015" s="3">
        <v>1</v>
      </c>
      <c r="E3015" s="3" t="str">
        <f>"2170734621"</f>
        <v>2170734621</v>
      </c>
      <c r="F3015" s="3" t="s">
        <v>17</v>
      </c>
      <c r="G3015" s="3" t="s">
        <v>18</v>
      </c>
      <c r="H3015" s="3" t="s">
        <v>36</v>
      </c>
      <c r="I3015" s="3" t="s">
        <v>37</v>
      </c>
      <c r="J3015" s="3" t="s">
        <v>2125</v>
      </c>
      <c r="K3015" s="3" t="s">
        <v>2154</v>
      </c>
      <c r="L3015" s="4">
        <v>0.37083333333333335</v>
      </c>
      <c r="M3015" s="3" t="s">
        <v>2196</v>
      </c>
      <c r="N3015" s="3" t="s">
        <v>24</v>
      </c>
      <c r="O3015" s="3" t="s">
        <v>25</v>
      </c>
    </row>
    <row r="3016" spans="1:15">
      <c r="A3016" s="3" t="s">
        <v>15</v>
      </c>
      <c r="B3016" s="3" t="str">
        <f>"FES1162743190"</f>
        <v>FES1162743190</v>
      </c>
      <c r="C3016" s="3" t="s">
        <v>1966</v>
      </c>
      <c r="D3016" s="3">
        <v>1</v>
      </c>
      <c r="E3016" s="3" t="str">
        <f>"2170734605"</f>
        <v>2170734605</v>
      </c>
      <c r="F3016" s="3" t="s">
        <v>17</v>
      </c>
      <c r="G3016" s="3" t="s">
        <v>18</v>
      </c>
      <c r="H3016" s="3" t="s">
        <v>18</v>
      </c>
      <c r="I3016" s="3" t="s">
        <v>33</v>
      </c>
      <c r="J3016" s="3" t="s">
        <v>34</v>
      </c>
      <c r="K3016" s="3" t="s">
        <v>2154</v>
      </c>
      <c r="L3016" s="4">
        <v>0.35694444444444445</v>
      </c>
      <c r="M3016" s="3" t="s">
        <v>444</v>
      </c>
      <c r="N3016" s="3" t="s">
        <v>24</v>
      </c>
      <c r="O3016" s="3" t="s">
        <v>25</v>
      </c>
    </row>
    <row r="3017" spans="1:15">
      <c r="A3017" s="3" t="s">
        <v>15</v>
      </c>
      <c r="B3017" s="3" t="str">
        <f>"FES1162743184"</f>
        <v>FES1162743184</v>
      </c>
      <c r="C3017" s="3" t="s">
        <v>1966</v>
      </c>
      <c r="D3017" s="3">
        <v>1</v>
      </c>
      <c r="E3017" s="3" t="str">
        <f>"2170734600"</f>
        <v>2170734600</v>
      </c>
      <c r="F3017" s="3" t="s">
        <v>17</v>
      </c>
      <c r="G3017" s="3" t="s">
        <v>18</v>
      </c>
      <c r="H3017" s="3" t="s">
        <v>70</v>
      </c>
      <c r="I3017" s="3" t="s">
        <v>71</v>
      </c>
      <c r="J3017" s="3" t="s">
        <v>1184</v>
      </c>
      <c r="K3017" s="3" t="s">
        <v>2154</v>
      </c>
      <c r="L3017" s="4">
        <v>0.3972222222222222</v>
      </c>
      <c r="M3017" s="3" t="s">
        <v>1185</v>
      </c>
      <c r="N3017" s="3" t="s">
        <v>24</v>
      </c>
      <c r="O3017" s="3" t="s">
        <v>25</v>
      </c>
    </row>
    <row r="3018" spans="1:15">
      <c r="A3018" s="3" t="s">
        <v>15</v>
      </c>
      <c r="B3018" s="3" t="str">
        <f>"FES1162743187"</f>
        <v>FES1162743187</v>
      </c>
      <c r="C3018" s="3" t="s">
        <v>1966</v>
      </c>
      <c r="D3018" s="3">
        <v>1</v>
      </c>
      <c r="E3018" s="3" t="str">
        <f>"2170734603"</f>
        <v>2170734603</v>
      </c>
      <c r="F3018" s="3" t="s">
        <v>17</v>
      </c>
      <c r="G3018" s="3" t="s">
        <v>18</v>
      </c>
      <c r="H3018" s="3" t="s">
        <v>19</v>
      </c>
      <c r="I3018" s="3" t="s">
        <v>20</v>
      </c>
      <c r="J3018" s="3" t="s">
        <v>56</v>
      </c>
      <c r="K3018" s="3" t="s">
        <v>2154</v>
      </c>
      <c r="L3018" s="4">
        <v>0.37152777777777773</v>
      </c>
      <c r="M3018" s="3" t="s">
        <v>259</v>
      </c>
      <c r="N3018" s="3" t="s">
        <v>24</v>
      </c>
      <c r="O3018" s="3" t="s">
        <v>25</v>
      </c>
    </row>
    <row r="3019" spans="1:15">
      <c r="A3019" s="3" t="s">
        <v>15</v>
      </c>
      <c r="B3019" s="3" t="str">
        <f>"FES1162743182"</f>
        <v>FES1162743182</v>
      </c>
      <c r="C3019" s="3" t="s">
        <v>1966</v>
      </c>
      <c r="D3019" s="3">
        <v>1</v>
      </c>
      <c r="E3019" s="3" t="str">
        <f>"2170734595"</f>
        <v>2170734595</v>
      </c>
      <c r="F3019" s="3" t="s">
        <v>17</v>
      </c>
      <c r="G3019" s="3" t="s">
        <v>18</v>
      </c>
      <c r="H3019" s="3" t="s">
        <v>70</v>
      </c>
      <c r="I3019" s="3" t="s">
        <v>71</v>
      </c>
      <c r="J3019" s="3" t="s">
        <v>248</v>
      </c>
      <c r="K3019" s="3" t="s">
        <v>2154</v>
      </c>
      <c r="L3019" s="4">
        <v>0.39583333333333331</v>
      </c>
      <c r="M3019" s="3" t="s">
        <v>929</v>
      </c>
      <c r="N3019" s="3" t="s">
        <v>24</v>
      </c>
      <c r="O3019" s="3" t="s">
        <v>25</v>
      </c>
    </row>
    <row r="3020" spans="1:15">
      <c r="A3020" s="3" t="s">
        <v>15</v>
      </c>
      <c r="B3020" s="3" t="str">
        <f>"FES1162743141"</f>
        <v>FES1162743141</v>
      </c>
      <c r="C3020" s="3" t="s">
        <v>1966</v>
      </c>
      <c r="D3020" s="3">
        <v>1</v>
      </c>
      <c r="E3020" s="3" t="str">
        <f>"217073552"</f>
        <v>217073552</v>
      </c>
      <c r="F3020" s="3" t="s">
        <v>17</v>
      </c>
      <c r="G3020" s="3" t="s">
        <v>18</v>
      </c>
      <c r="H3020" s="3" t="s">
        <v>19</v>
      </c>
      <c r="I3020" s="3" t="s">
        <v>445</v>
      </c>
      <c r="J3020" s="3" t="s">
        <v>446</v>
      </c>
      <c r="K3020" s="3" t="s">
        <v>2154</v>
      </c>
      <c r="L3020" s="4">
        <v>0.4375</v>
      </c>
      <c r="M3020" s="3" t="s">
        <v>2197</v>
      </c>
      <c r="N3020" s="3" t="s">
        <v>24</v>
      </c>
      <c r="O3020" s="3" t="s">
        <v>25</v>
      </c>
    </row>
    <row r="3021" spans="1:15">
      <c r="A3021" s="3" t="s">
        <v>15</v>
      </c>
      <c r="B3021" s="3" t="str">
        <f>"FES1162743164"</f>
        <v>FES1162743164</v>
      </c>
      <c r="C3021" s="3" t="s">
        <v>1966</v>
      </c>
      <c r="D3021" s="3">
        <v>1</v>
      </c>
      <c r="E3021" s="3" t="str">
        <f>"2170734576"</f>
        <v>2170734576</v>
      </c>
      <c r="F3021" s="3" t="s">
        <v>17</v>
      </c>
      <c r="G3021" s="3" t="s">
        <v>18</v>
      </c>
      <c r="H3021" s="3" t="s">
        <v>19</v>
      </c>
      <c r="I3021" s="3" t="s">
        <v>1241</v>
      </c>
      <c r="J3021" s="3" t="s">
        <v>2198</v>
      </c>
      <c r="K3021" s="3" t="s">
        <v>2210</v>
      </c>
      <c r="L3021" s="4">
        <v>0.75</v>
      </c>
      <c r="M3021" s="3" t="s">
        <v>2212</v>
      </c>
      <c r="N3021" s="3" t="s">
        <v>24</v>
      </c>
      <c r="O3021" s="3" t="s">
        <v>25</v>
      </c>
    </row>
    <row r="3022" spans="1:15">
      <c r="A3022" s="3" t="s">
        <v>15</v>
      </c>
      <c r="B3022" s="3" t="str">
        <f>"FES1162743222"</f>
        <v>FES1162743222</v>
      </c>
      <c r="C3022" s="3" t="s">
        <v>1966</v>
      </c>
      <c r="D3022" s="3">
        <v>1</v>
      </c>
      <c r="E3022" s="3" t="str">
        <f>"2170734653"</f>
        <v>2170734653</v>
      </c>
      <c r="F3022" s="3" t="s">
        <v>17</v>
      </c>
      <c r="G3022" s="3" t="s">
        <v>18</v>
      </c>
      <c r="H3022" s="3" t="s">
        <v>18</v>
      </c>
      <c r="I3022" s="3" t="s">
        <v>33</v>
      </c>
      <c r="J3022" s="3" t="s">
        <v>229</v>
      </c>
      <c r="K3022" s="3" t="s">
        <v>2154</v>
      </c>
      <c r="L3022" s="4">
        <v>0.41666666666666669</v>
      </c>
      <c r="M3022" s="3" t="s">
        <v>1934</v>
      </c>
      <c r="N3022" s="3" t="s">
        <v>24</v>
      </c>
      <c r="O3022" s="3" t="s">
        <v>25</v>
      </c>
    </row>
    <row r="3023" spans="1:15">
      <c r="A3023" s="3" t="s">
        <v>15</v>
      </c>
      <c r="B3023" s="3" t="str">
        <f>"FES1162743210"</f>
        <v>FES1162743210</v>
      </c>
      <c r="C3023" s="3" t="s">
        <v>1966</v>
      </c>
      <c r="D3023" s="3">
        <v>1</v>
      </c>
      <c r="E3023" s="3" t="str">
        <f>"2170734638"</f>
        <v>2170734638</v>
      </c>
      <c r="F3023" s="3" t="s">
        <v>17</v>
      </c>
      <c r="G3023" s="3" t="s">
        <v>18</v>
      </c>
      <c r="H3023" s="3" t="s">
        <v>18</v>
      </c>
      <c r="I3023" s="3" t="s">
        <v>184</v>
      </c>
      <c r="J3023" s="3" t="s">
        <v>185</v>
      </c>
      <c r="K3023" s="3" t="s">
        <v>2154</v>
      </c>
      <c r="L3023" s="4">
        <v>0.25</v>
      </c>
      <c r="M3023" s="3" t="s">
        <v>268</v>
      </c>
      <c r="N3023" s="3" t="s">
        <v>24</v>
      </c>
      <c r="O3023" s="3" t="s">
        <v>25</v>
      </c>
    </row>
    <row r="3024" spans="1:15">
      <c r="A3024" s="3" t="s">
        <v>15</v>
      </c>
      <c r="B3024" s="3" t="str">
        <f>"FES1162743221"</f>
        <v>FES1162743221</v>
      </c>
      <c r="C3024" s="3" t="s">
        <v>1966</v>
      </c>
      <c r="D3024" s="3">
        <v>1</v>
      </c>
      <c r="E3024" s="3" t="str">
        <f>"2170734652"</f>
        <v>2170734652</v>
      </c>
      <c r="F3024" s="3" t="s">
        <v>17</v>
      </c>
      <c r="G3024" s="3" t="s">
        <v>18</v>
      </c>
      <c r="H3024" s="3" t="s">
        <v>46</v>
      </c>
      <c r="I3024" s="3" t="s">
        <v>47</v>
      </c>
      <c r="J3024" s="3" t="s">
        <v>48</v>
      </c>
      <c r="K3024" s="3" t="s">
        <v>2154</v>
      </c>
      <c r="L3024" s="4">
        <v>0.39305555555555555</v>
      </c>
      <c r="M3024" s="3" t="s">
        <v>1508</v>
      </c>
      <c r="N3024" s="3" t="s">
        <v>24</v>
      </c>
      <c r="O3024" s="3" t="s">
        <v>25</v>
      </c>
    </row>
    <row r="3025" spans="1:15">
      <c r="A3025" s="3" t="s">
        <v>15</v>
      </c>
      <c r="B3025" s="3" t="str">
        <f>"FES1162743213"</f>
        <v>FES1162743213</v>
      </c>
      <c r="C3025" s="3" t="s">
        <v>1966</v>
      </c>
      <c r="D3025" s="3">
        <v>1</v>
      </c>
      <c r="E3025" s="3" t="str">
        <f>"2170734643"</f>
        <v>2170734643</v>
      </c>
      <c r="F3025" s="3" t="s">
        <v>17</v>
      </c>
      <c r="G3025" s="3" t="s">
        <v>18</v>
      </c>
      <c r="H3025" s="3" t="s">
        <v>100</v>
      </c>
      <c r="I3025" s="3" t="s">
        <v>101</v>
      </c>
      <c r="J3025" s="3" t="s">
        <v>131</v>
      </c>
      <c r="K3025" s="3" t="s">
        <v>2154</v>
      </c>
      <c r="L3025" s="4">
        <v>0.35972222222222222</v>
      </c>
      <c r="M3025" s="3" t="s">
        <v>132</v>
      </c>
      <c r="N3025" s="3" t="s">
        <v>24</v>
      </c>
      <c r="O3025" s="3" t="s">
        <v>25</v>
      </c>
    </row>
    <row r="3026" spans="1:15">
      <c r="A3026" s="3" t="s">
        <v>15</v>
      </c>
      <c r="B3026" s="3" t="str">
        <f>"FES1162743212"</f>
        <v>FES1162743212</v>
      </c>
      <c r="C3026" s="3" t="s">
        <v>1966</v>
      </c>
      <c r="D3026" s="3">
        <v>1</v>
      </c>
      <c r="E3026" s="3" t="str">
        <f>"2170734640"</f>
        <v>2170734640</v>
      </c>
      <c r="F3026" s="3" t="s">
        <v>17</v>
      </c>
      <c r="G3026" s="3" t="s">
        <v>18</v>
      </c>
      <c r="H3026" s="3" t="s">
        <v>100</v>
      </c>
      <c r="I3026" s="3" t="s">
        <v>262</v>
      </c>
      <c r="J3026" s="3" t="s">
        <v>409</v>
      </c>
      <c r="K3026" s="3" t="s">
        <v>2210</v>
      </c>
      <c r="L3026" s="4">
        <v>0.44097222222222227</v>
      </c>
      <c r="M3026" s="3" t="s">
        <v>409</v>
      </c>
      <c r="N3026" s="3" t="s">
        <v>24</v>
      </c>
      <c r="O3026" s="3" t="s">
        <v>25</v>
      </c>
    </row>
    <row r="3027" spans="1:15">
      <c r="A3027" s="3" t="s">
        <v>15</v>
      </c>
      <c r="B3027" s="3" t="str">
        <f>"FES1162743211"</f>
        <v>FES1162743211</v>
      </c>
      <c r="C3027" s="3" t="s">
        <v>1966</v>
      </c>
      <c r="D3027" s="3">
        <v>1</v>
      </c>
      <c r="E3027" s="3" t="str">
        <f>"2170734641"</f>
        <v>2170734641</v>
      </c>
      <c r="F3027" s="3" t="s">
        <v>17</v>
      </c>
      <c r="G3027" s="3" t="s">
        <v>18</v>
      </c>
      <c r="H3027" s="3" t="s">
        <v>19</v>
      </c>
      <c r="I3027" s="3" t="s">
        <v>20</v>
      </c>
      <c r="J3027" s="3" t="s">
        <v>84</v>
      </c>
      <c r="K3027" s="3" t="s">
        <v>2154</v>
      </c>
      <c r="L3027" s="4">
        <v>0.3923611111111111</v>
      </c>
      <c r="M3027" s="3" t="s">
        <v>85</v>
      </c>
      <c r="N3027" s="3" t="s">
        <v>24</v>
      </c>
      <c r="O3027" s="3" t="s">
        <v>25</v>
      </c>
    </row>
    <row r="3028" spans="1:15">
      <c r="A3028" s="3" t="s">
        <v>15</v>
      </c>
      <c r="B3028" s="3" t="str">
        <f>"FES1162743218"</f>
        <v>FES1162743218</v>
      </c>
      <c r="C3028" s="3" t="s">
        <v>1966</v>
      </c>
      <c r="D3028" s="3">
        <v>1</v>
      </c>
      <c r="E3028" s="3" t="str">
        <f>"2170734649"</f>
        <v>2170734649</v>
      </c>
      <c r="F3028" s="3" t="s">
        <v>17</v>
      </c>
      <c r="G3028" s="3" t="s">
        <v>18</v>
      </c>
      <c r="H3028" s="3" t="s">
        <v>19</v>
      </c>
      <c r="I3028" s="3" t="s">
        <v>51</v>
      </c>
      <c r="J3028" s="3" t="s">
        <v>2200</v>
      </c>
      <c r="K3028" s="3" t="s">
        <v>2154</v>
      </c>
      <c r="L3028" s="4">
        <v>0.38958333333333334</v>
      </c>
      <c r="M3028" s="3" t="s">
        <v>2201</v>
      </c>
      <c r="N3028" s="3" t="s">
        <v>24</v>
      </c>
      <c r="O3028" s="3" t="s">
        <v>25</v>
      </c>
    </row>
    <row r="3029" spans="1:15">
      <c r="A3029" s="3" t="s">
        <v>15</v>
      </c>
      <c r="B3029" s="3" t="str">
        <f>"FES1162743232"</f>
        <v>FES1162743232</v>
      </c>
      <c r="C3029" s="3" t="s">
        <v>1966</v>
      </c>
      <c r="D3029" s="3">
        <v>1</v>
      </c>
      <c r="E3029" s="3" t="str">
        <f>"21707834665"</f>
        <v>21707834665</v>
      </c>
      <c r="F3029" s="3" t="s">
        <v>528</v>
      </c>
      <c r="G3029" s="3" t="s">
        <v>948</v>
      </c>
      <c r="H3029" s="3" t="s">
        <v>19</v>
      </c>
      <c r="I3029" s="3" t="s">
        <v>20</v>
      </c>
      <c r="J3029" s="3" t="s">
        <v>56</v>
      </c>
      <c r="K3029" s="3" t="s">
        <v>2154</v>
      </c>
      <c r="L3029" s="4">
        <v>0.56597222222222221</v>
      </c>
      <c r="M3029" s="3" t="s">
        <v>57</v>
      </c>
      <c r="N3029" s="3" t="s">
        <v>24</v>
      </c>
      <c r="O3029" s="3" t="s">
        <v>317</v>
      </c>
    </row>
    <row r="3030" spans="1:15">
      <c r="A3030" s="3" t="s">
        <v>15</v>
      </c>
      <c r="B3030" s="3" t="str">
        <f>"FES1162743201"</f>
        <v>FES1162743201</v>
      </c>
      <c r="C3030" s="3" t="s">
        <v>1966</v>
      </c>
      <c r="D3030" s="3">
        <v>1</v>
      </c>
      <c r="E3030" s="3" t="str">
        <f>"2170734619"</f>
        <v>2170734619</v>
      </c>
      <c r="F3030" s="3" t="s">
        <v>17</v>
      </c>
      <c r="G3030" s="3" t="s">
        <v>18</v>
      </c>
      <c r="H3030" s="3" t="s">
        <v>19</v>
      </c>
      <c r="I3030" s="3" t="s">
        <v>236</v>
      </c>
      <c r="J3030" s="3" t="s">
        <v>257</v>
      </c>
      <c r="K3030" s="3" t="s">
        <v>2154</v>
      </c>
      <c r="L3030" s="4">
        <v>0.33055555555555555</v>
      </c>
      <c r="M3030" s="3" t="s">
        <v>819</v>
      </c>
      <c r="N3030" s="3" t="s">
        <v>24</v>
      </c>
      <c r="O3030" s="3" t="s">
        <v>25</v>
      </c>
    </row>
    <row r="3031" spans="1:15">
      <c r="A3031" s="3" t="s">
        <v>15</v>
      </c>
      <c r="B3031" s="3" t="str">
        <f>"FES1162743197"</f>
        <v>FES1162743197</v>
      </c>
      <c r="C3031" s="3" t="s">
        <v>1966</v>
      </c>
      <c r="D3031" s="3">
        <v>1</v>
      </c>
      <c r="E3031" s="3" t="str">
        <f>"2170734615"</f>
        <v>2170734615</v>
      </c>
      <c r="F3031" s="3" t="s">
        <v>17</v>
      </c>
      <c r="G3031" s="3" t="s">
        <v>18</v>
      </c>
      <c r="H3031" s="3" t="s">
        <v>849</v>
      </c>
      <c r="I3031" s="3" t="s">
        <v>850</v>
      </c>
      <c r="J3031" s="3" t="s">
        <v>2202</v>
      </c>
      <c r="K3031" s="3" t="s">
        <v>2154</v>
      </c>
      <c r="L3031" s="4">
        <v>0.48958333333333331</v>
      </c>
      <c r="M3031" s="3" t="s">
        <v>2203</v>
      </c>
      <c r="N3031" s="3" t="s">
        <v>24</v>
      </c>
      <c r="O3031" s="3" t="s">
        <v>25</v>
      </c>
    </row>
    <row r="3032" spans="1:15">
      <c r="A3032" s="3" t="s">
        <v>15</v>
      </c>
      <c r="B3032" s="3" t="str">
        <f>"FES1162743200"</f>
        <v>FES1162743200</v>
      </c>
      <c r="C3032" s="3" t="s">
        <v>1966</v>
      </c>
      <c r="D3032" s="3">
        <v>1</v>
      </c>
      <c r="E3032" s="3" t="str">
        <f>"2170734618"</f>
        <v>2170734618</v>
      </c>
      <c r="F3032" s="3" t="s">
        <v>17</v>
      </c>
      <c r="G3032" s="3" t="s">
        <v>18</v>
      </c>
      <c r="H3032" s="3" t="s">
        <v>19</v>
      </c>
      <c r="I3032" s="3" t="s">
        <v>20</v>
      </c>
      <c r="J3032" s="3" t="s">
        <v>21</v>
      </c>
      <c r="K3032" s="3" t="s">
        <v>2154</v>
      </c>
      <c r="L3032" s="4">
        <v>0.34722222222222227</v>
      </c>
      <c r="M3032" s="3" t="s">
        <v>45</v>
      </c>
      <c r="N3032" s="3" t="s">
        <v>24</v>
      </c>
      <c r="O3032" s="3" t="s">
        <v>25</v>
      </c>
    </row>
    <row r="3033" spans="1:15">
      <c r="A3033" s="7" t="s">
        <v>15</v>
      </c>
      <c r="B3033" s="7" t="str">
        <f>"FES1162743233"</f>
        <v>FES1162743233</v>
      </c>
      <c r="C3033" s="7" t="s">
        <v>1966</v>
      </c>
      <c r="D3033" s="7">
        <v>1</v>
      </c>
      <c r="E3033" s="7" t="str">
        <f>"2170734669"</f>
        <v>2170734669</v>
      </c>
      <c r="F3033" s="7" t="s">
        <v>17</v>
      </c>
      <c r="G3033" s="7" t="s">
        <v>18</v>
      </c>
      <c r="H3033" s="7" t="s">
        <v>18</v>
      </c>
      <c r="I3033" s="7" t="s">
        <v>29</v>
      </c>
      <c r="J3033" s="7" t="s">
        <v>543</v>
      </c>
      <c r="K3033" s="7" t="s">
        <v>447</v>
      </c>
      <c r="L3033" s="7"/>
      <c r="M3033" s="7" t="s">
        <v>448</v>
      </c>
      <c r="N3033" s="7" t="s">
        <v>1753</v>
      </c>
      <c r="O3033" s="7" t="s">
        <v>1753</v>
      </c>
    </row>
    <row r="3034" spans="1:15">
      <c r="A3034" s="3" t="s">
        <v>15</v>
      </c>
      <c r="B3034" s="3" t="str">
        <f>"FES1162743230"</f>
        <v>FES1162743230</v>
      </c>
      <c r="C3034" s="3" t="s">
        <v>1966</v>
      </c>
      <c r="D3034" s="3">
        <v>1</v>
      </c>
      <c r="E3034" s="3" t="str">
        <f>"2170734663"</f>
        <v>2170734663</v>
      </c>
      <c r="F3034" s="3" t="s">
        <v>17</v>
      </c>
      <c r="G3034" s="3" t="s">
        <v>18</v>
      </c>
      <c r="H3034" s="3" t="s">
        <v>18</v>
      </c>
      <c r="I3034" s="3" t="s">
        <v>29</v>
      </c>
      <c r="J3034" s="3" t="s">
        <v>2151</v>
      </c>
      <c r="K3034" s="3" t="s">
        <v>2154</v>
      </c>
      <c r="L3034" s="4">
        <v>0.40625</v>
      </c>
      <c r="M3034" s="3" t="s">
        <v>200</v>
      </c>
      <c r="N3034" s="3" t="s">
        <v>24</v>
      </c>
      <c r="O3034" s="3" t="s">
        <v>25</v>
      </c>
    </row>
    <row r="3035" spans="1:15">
      <c r="A3035" s="3" t="s">
        <v>15</v>
      </c>
      <c r="B3035" s="3" t="str">
        <f>"FES1162743220"</f>
        <v>FES1162743220</v>
      </c>
      <c r="C3035" s="3" t="s">
        <v>1966</v>
      </c>
      <c r="D3035" s="3">
        <v>1</v>
      </c>
      <c r="E3035" s="3" t="str">
        <f>"2170734651"</f>
        <v>2170734651</v>
      </c>
      <c r="F3035" s="3" t="s">
        <v>17</v>
      </c>
      <c r="G3035" s="3" t="s">
        <v>18</v>
      </c>
      <c r="H3035" s="3" t="s">
        <v>18</v>
      </c>
      <c r="I3035" s="3" t="s">
        <v>151</v>
      </c>
      <c r="J3035" s="3" t="s">
        <v>770</v>
      </c>
      <c r="K3035" s="3" t="s">
        <v>2154</v>
      </c>
      <c r="L3035" s="4">
        <v>0.33333333333333331</v>
      </c>
      <c r="M3035" s="3" t="s">
        <v>2189</v>
      </c>
      <c r="N3035" s="3" t="s">
        <v>24</v>
      </c>
      <c r="O3035" s="3" t="s">
        <v>25</v>
      </c>
    </row>
    <row r="3036" spans="1:15">
      <c r="A3036" s="3" t="s">
        <v>15</v>
      </c>
      <c r="B3036" s="3" t="str">
        <f>"FES1162743217"</f>
        <v>FES1162743217</v>
      </c>
      <c r="C3036" s="3" t="s">
        <v>1966</v>
      </c>
      <c r="D3036" s="3">
        <v>1</v>
      </c>
      <c r="E3036" s="3" t="str">
        <f>"2170734647"</f>
        <v>2170734647</v>
      </c>
      <c r="F3036" s="3" t="s">
        <v>17</v>
      </c>
      <c r="G3036" s="3" t="s">
        <v>18</v>
      </c>
      <c r="H3036" s="3" t="s">
        <v>18</v>
      </c>
      <c r="I3036" s="3" t="s">
        <v>29</v>
      </c>
      <c r="J3036" s="3" t="s">
        <v>307</v>
      </c>
      <c r="K3036" s="3" t="s">
        <v>2154</v>
      </c>
      <c r="L3036" s="4">
        <v>0.35069444444444442</v>
      </c>
      <c r="M3036" s="3" t="s">
        <v>308</v>
      </c>
      <c r="N3036" s="3" t="s">
        <v>24</v>
      </c>
      <c r="O3036" s="3" t="s">
        <v>25</v>
      </c>
    </row>
    <row r="3037" spans="1:15">
      <c r="A3037" s="3" t="s">
        <v>15</v>
      </c>
      <c r="B3037" s="3" t="str">
        <f>"FES1162743226"</f>
        <v>FES1162743226</v>
      </c>
      <c r="C3037" s="3" t="s">
        <v>1966</v>
      </c>
      <c r="D3037" s="3">
        <v>1</v>
      </c>
      <c r="E3037" s="3" t="str">
        <f>"2170734357"</f>
        <v>2170734357</v>
      </c>
      <c r="F3037" s="3" t="s">
        <v>17</v>
      </c>
      <c r="G3037" s="3" t="s">
        <v>18</v>
      </c>
      <c r="H3037" s="3" t="s">
        <v>18</v>
      </c>
      <c r="I3037" s="3" t="s">
        <v>29</v>
      </c>
      <c r="J3037" s="3" t="s">
        <v>568</v>
      </c>
      <c r="K3037" s="3" t="s">
        <v>2154</v>
      </c>
      <c r="L3037" s="4">
        <v>0.33333333333333331</v>
      </c>
      <c r="M3037" s="3" t="s">
        <v>632</v>
      </c>
      <c r="N3037" s="3" t="s">
        <v>24</v>
      </c>
      <c r="O3037" s="3" t="s">
        <v>25</v>
      </c>
    </row>
    <row r="3038" spans="1:15">
      <c r="A3038" s="3" t="s">
        <v>15</v>
      </c>
      <c r="B3038" s="3" t="str">
        <f>"FES1162743228"</f>
        <v>FES1162743228</v>
      </c>
      <c r="C3038" s="3" t="s">
        <v>1966</v>
      </c>
      <c r="D3038" s="3">
        <v>1</v>
      </c>
      <c r="E3038" s="3" t="str">
        <f>"2170734661"</f>
        <v>2170734661</v>
      </c>
      <c r="F3038" s="3" t="s">
        <v>17</v>
      </c>
      <c r="G3038" s="3" t="s">
        <v>18</v>
      </c>
      <c r="H3038" s="3" t="s">
        <v>100</v>
      </c>
      <c r="I3038" s="3" t="s">
        <v>101</v>
      </c>
      <c r="J3038" s="3" t="s">
        <v>131</v>
      </c>
      <c r="K3038" s="3" t="s">
        <v>2154</v>
      </c>
      <c r="L3038" s="4">
        <v>0.35972222222222222</v>
      </c>
      <c r="M3038" s="3" t="s">
        <v>132</v>
      </c>
      <c r="N3038" s="3" t="s">
        <v>24</v>
      </c>
      <c r="O3038" s="3" t="s">
        <v>25</v>
      </c>
    </row>
    <row r="3039" spans="1:15">
      <c r="A3039" s="3" t="s">
        <v>15</v>
      </c>
      <c r="B3039" s="3" t="str">
        <f>"FES1162743224"</f>
        <v>FES1162743224</v>
      </c>
      <c r="C3039" s="3" t="s">
        <v>1966</v>
      </c>
      <c r="D3039" s="3">
        <v>1</v>
      </c>
      <c r="E3039" s="3" t="str">
        <f>"2170734656"</f>
        <v>2170734656</v>
      </c>
      <c r="F3039" s="3" t="s">
        <v>17</v>
      </c>
      <c r="G3039" s="3" t="s">
        <v>18</v>
      </c>
      <c r="H3039" s="3" t="s">
        <v>537</v>
      </c>
      <c r="I3039" s="3" t="s">
        <v>608</v>
      </c>
      <c r="J3039" s="3" t="s">
        <v>609</v>
      </c>
      <c r="K3039" s="3" t="s">
        <v>2154</v>
      </c>
      <c r="L3039" s="4">
        <v>0.51388888888888895</v>
      </c>
      <c r="M3039" s="3" t="s">
        <v>610</v>
      </c>
      <c r="N3039" s="3" t="s">
        <v>24</v>
      </c>
      <c r="O3039" s="3" t="s">
        <v>25</v>
      </c>
    </row>
    <row r="3040" spans="1:15">
      <c r="A3040" s="3" t="s">
        <v>15</v>
      </c>
      <c r="B3040" s="3" t="str">
        <f>"FES1162743240"</f>
        <v>FES1162743240</v>
      </c>
      <c r="C3040" s="3" t="s">
        <v>1966</v>
      </c>
      <c r="D3040" s="3">
        <v>1</v>
      </c>
      <c r="E3040" s="3" t="str">
        <f>"2170734677"</f>
        <v>2170734677</v>
      </c>
      <c r="F3040" s="3" t="s">
        <v>17</v>
      </c>
      <c r="G3040" s="3" t="s">
        <v>18</v>
      </c>
      <c r="H3040" s="3" t="s">
        <v>66</v>
      </c>
      <c r="I3040" s="3" t="s">
        <v>67</v>
      </c>
      <c r="J3040" s="3" t="s">
        <v>68</v>
      </c>
      <c r="K3040" s="3" t="s">
        <v>2154</v>
      </c>
      <c r="L3040" s="4">
        <v>0.38194444444444442</v>
      </c>
      <c r="M3040" s="3" t="s">
        <v>502</v>
      </c>
      <c r="N3040" s="3" t="s">
        <v>24</v>
      </c>
      <c r="O3040" s="3" t="s">
        <v>25</v>
      </c>
    </row>
    <row r="3041" spans="1:15">
      <c r="A3041" s="3" t="s">
        <v>15</v>
      </c>
      <c r="B3041" s="3" t="str">
        <f>"FES1162743236"</f>
        <v>FES1162743236</v>
      </c>
      <c r="C3041" s="3" t="s">
        <v>1966</v>
      </c>
      <c r="D3041" s="3">
        <v>1</v>
      </c>
      <c r="E3041" s="3" t="str">
        <f>"2170734675"</f>
        <v>2170734675</v>
      </c>
      <c r="F3041" s="3" t="s">
        <v>17</v>
      </c>
      <c r="G3041" s="3" t="s">
        <v>18</v>
      </c>
      <c r="H3041" s="3" t="s">
        <v>18</v>
      </c>
      <c r="I3041" s="3" t="s">
        <v>171</v>
      </c>
      <c r="J3041" s="3" t="s">
        <v>189</v>
      </c>
      <c r="K3041" s="3" t="s">
        <v>2154</v>
      </c>
      <c r="L3041" s="4">
        <v>0.31527777777777777</v>
      </c>
      <c r="M3041" s="3" t="s">
        <v>412</v>
      </c>
      <c r="N3041" s="3" t="s">
        <v>24</v>
      </c>
      <c r="O3041" s="3" t="s">
        <v>25</v>
      </c>
    </row>
    <row r="3042" spans="1:15">
      <c r="A3042" s="3" t="s">
        <v>15</v>
      </c>
      <c r="B3042" s="3" t="str">
        <f>"FES1162743223"</f>
        <v>FES1162743223</v>
      </c>
      <c r="C3042" s="3" t="s">
        <v>1966</v>
      </c>
      <c r="D3042" s="3">
        <v>1</v>
      </c>
      <c r="E3042" s="3" t="str">
        <f>"21707346555"</f>
        <v>21707346555</v>
      </c>
      <c r="F3042" s="3" t="s">
        <v>17</v>
      </c>
      <c r="G3042" s="3" t="s">
        <v>18</v>
      </c>
      <c r="H3042" s="3" t="s">
        <v>537</v>
      </c>
      <c r="I3042" s="3" t="s">
        <v>608</v>
      </c>
      <c r="J3042" s="3" t="s">
        <v>609</v>
      </c>
      <c r="K3042" s="3" t="s">
        <v>2154</v>
      </c>
      <c r="L3042" s="4">
        <v>0.51388888888888895</v>
      </c>
      <c r="M3042" s="3" t="s">
        <v>610</v>
      </c>
      <c r="N3042" s="3" t="s">
        <v>24</v>
      </c>
      <c r="O3042" s="3" t="s">
        <v>25</v>
      </c>
    </row>
    <row r="3043" spans="1:15">
      <c r="A3043" s="3" t="s">
        <v>15</v>
      </c>
      <c r="B3043" s="3" t="str">
        <f>"FES1162743229"</f>
        <v>FES1162743229</v>
      </c>
      <c r="C3043" s="3" t="s">
        <v>1966</v>
      </c>
      <c r="D3043" s="3">
        <v>2</v>
      </c>
      <c r="E3043" s="3" t="str">
        <f>"2170734143"</f>
        <v>2170734143</v>
      </c>
      <c r="F3043" s="3" t="s">
        <v>528</v>
      </c>
      <c r="G3043" s="3" t="s">
        <v>948</v>
      </c>
      <c r="H3043" s="3" t="s">
        <v>948</v>
      </c>
      <c r="I3043" s="3" t="s">
        <v>171</v>
      </c>
      <c r="J3043" s="3" t="s">
        <v>574</v>
      </c>
      <c r="K3043" s="3" t="s">
        <v>2154</v>
      </c>
      <c r="L3043" s="4">
        <v>0.37777777777777777</v>
      </c>
      <c r="M3043" s="3" t="s">
        <v>2205</v>
      </c>
      <c r="N3043" s="3" t="s">
        <v>24</v>
      </c>
      <c r="O3043" s="3" t="s">
        <v>25</v>
      </c>
    </row>
    <row r="3044" spans="1:15">
      <c r="A3044" s="3" t="s">
        <v>15</v>
      </c>
      <c r="B3044" s="3" t="str">
        <f>"FES1162743219"</f>
        <v>FES1162743219</v>
      </c>
      <c r="C3044" s="3" t="s">
        <v>1966</v>
      </c>
      <c r="D3044" s="3">
        <v>1</v>
      </c>
      <c r="E3044" s="3" t="str">
        <f>"2170734650"</f>
        <v>2170734650</v>
      </c>
      <c r="F3044" s="3" t="s">
        <v>17</v>
      </c>
      <c r="G3044" s="3" t="s">
        <v>18</v>
      </c>
      <c r="H3044" s="3" t="s">
        <v>100</v>
      </c>
      <c r="I3044" s="3" t="s">
        <v>155</v>
      </c>
      <c r="J3044" s="3" t="s">
        <v>333</v>
      </c>
      <c r="K3044" s="3" t="s">
        <v>2154</v>
      </c>
      <c r="L3044" s="4">
        <v>0.37777777777777777</v>
      </c>
      <c r="M3044" s="3" t="s">
        <v>334</v>
      </c>
      <c r="N3044" s="3" t="s">
        <v>24</v>
      </c>
      <c r="O3044" s="3" t="s">
        <v>25</v>
      </c>
    </row>
    <row r="3045" spans="1:15">
      <c r="A3045" s="3" t="s">
        <v>15</v>
      </c>
      <c r="B3045" s="3" t="str">
        <f>"FES1162743239"</f>
        <v>FES1162743239</v>
      </c>
      <c r="C3045" s="3" t="s">
        <v>1966</v>
      </c>
      <c r="D3045" s="3">
        <v>1</v>
      </c>
      <c r="E3045" s="3" t="str">
        <f>"2170734659"</f>
        <v>2170734659</v>
      </c>
      <c r="F3045" s="3" t="s">
        <v>17</v>
      </c>
      <c r="G3045" s="3" t="s">
        <v>18</v>
      </c>
      <c r="H3045" s="3" t="s">
        <v>18</v>
      </c>
      <c r="I3045" s="3" t="s">
        <v>151</v>
      </c>
      <c r="J3045" s="3" t="s">
        <v>493</v>
      </c>
      <c r="K3045" s="3" t="s">
        <v>2154</v>
      </c>
      <c r="L3045" s="4">
        <v>0.33333333333333331</v>
      </c>
      <c r="M3045" s="3" t="s">
        <v>981</v>
      </c>
      <c r="N3045" s="3" t="s">
        <v>24</v>
      </c>
      <c r="O3045" s="3" t="s">
        <v>25</v>
      </c>
    </row>
    <row r="3046" spans="1:15">
      <c r="A3046" s="3" t="s">
        <v>15</v>
      </c>
      <c r="B3046" s="3" t="str">
        <f>"FES1162743234"</f>
        <v>FES1162743234</v>
      </c>
      <c r="C3046" s="3" t="s">
        <v>1966</v>
      </c>
      <c r="D3046" s="3">
        <v>2</v>
      </c>
      <c r="E3046" s="3" t="str">
        <f>"2170734674"</f>
        <v>2170734674</v>
      </c>
      <c r="F3046" s="3" t="s">
        <v>17</v>
      </c>
      <c r="G3046" s="3" t="s">
        <v>18</v>
      </c>
      <c r="H3046" s="3" t="s">
        <v>18</v>
      </c>
      <c r="I3046" s="3" t="s">
        <v>33</v>
      </c>
      <c r="J3046" s="3" t="s">
        <v>2206</v>
      </c>
      <c r="K3046" s="3" t="s">
        <v>2154</v>
      </c>
      <c r="L3046" s="4">
        <v>0.36249999999999999</v>
      </c>
      <c r="M3046" s="3" t="s">
        <v>2207</v>
      </c>
      <c r="N3046" s="3" t="s">
        <v>24</v>
      </c>
      <c r="O3046" s="3" t="s">
        <v>25</v>
      </c>
    </row>
    <row r="3047" spans="1:15">
      <c r="A3047" s="3" t="s">
        <v>15</v>
      </c>
      <c r="B3047" s="3" t="str">
        <f>"FES1162743242"</f>
        <v>FES1162743242</v>
      </c>
      <c r="C3047" s="3" t="s">
        <v>1966</v>
      </c>
      <c r="D3047" s="3">
        <v>1</v>
      </c>
      <c r="E3047" s="3" t="str">
        <f>"2170734682"</f>
        <v>2170734682</v>
      </c>
      <c r="F3047" s="3" t="s">
        <v>17</v>
      </c>
      <c r="G3047" s="3" t="s">
        <v>18</v>
      </c>
      <c r="H3047" s="3" t="s">
        <v>18</v>
      </c>
      <c r="I3047" s="3" t="s">
        <v>171</v>
      </c>
      <c r="J3047" s="3" t="s">
        <v>311</v>
      </c>
      <c r="K3047" s="3" t="s">
        <v>2154</v>
      </c>
      <c r="L3047" s="4">
        <v>0.28402777777777777</v>
      </c>
      <c r="M3047" s="3" t="s">
        <v>2208</v>
      </c>
      <c r="N3047" s="3" t="s">
        <v>24</v>
      </c>
      <c r="O3047" s="3" t="s">
        <v>25</v>
      </c>
    </row>
    <row r="3048" spans="1:15">
      <c r="A3048" s="3" t="s">
        <v>15</v>
      </c>
      <c r="B3048" s="3" t="str">
        <f>"FES1162743241"</f>
        <v>FES1162743241</v>
      </c>
      <c r="C3048" s="3" t="s">
        <v>1966</v>
      </c>
      <c r="D3048" s="3">
        <v>1</v>
      </c>
      <c r="E3048" s="3" t="str">
        <f>"2170734678"</f>
        <v>2170734678</v>
      </c>
      <c r="F3048" s="3" t="s">
        <v>17</v>
      </c>
      <c r="G3048" s="3" t="s">
        <v>18</v>
      </c>
      <c r="H3048" s="3" t="s">
        <v>19</v>
      </c>
      <c r="I3048" s="3" t="s">
        <v>277</v>
      </c>
      <c r="J3048" s="3" t="s">
        <v>549</v>
      </c>
      <c r="K3048" s="3" t="s">
        <v>2154</v>
      </c>
      <c r="L3048" s="4">
        <v>0.39583333333333331</v>
      </c>
      <c r="M3048" s="3" t="s">
        <v>2209</v>
      </c>
      <c r="N3048" s="3" t="s">
        <v>24</v>
      </c>
      <c r="O3048" s="3" t="s">
        <v>25</v>
      </c>
    </row>
    <row r="3049" spans="1:15">
      <c r="A3049" s="3" t="s">
        <v>15</v>
      </c>
      <c r="B3049" s="3" t="str">
        <f>"FES1162743382"</f>
        <v>FES1162743382</v>
      </c>
      <c r="C3049" s="3" t="s">
        <v>2154</v>
      </c>
      <c r="D3049" s="3">
        <v>1</v>
      </c>
      <c r="E3049" s="3" t="str">
        <f>"2170734812"</f>
        <v>2170734812</v>
      </c>
      <c r="F3049" s="3" t="s">
        <v>17</v>
      </c>
      <c r="G3049" s="3" t="s">
        <v>18</v>
      </c>
      <c r="H3049" s="3" t="s">
        <v>100</v>
      </c>
      <c r="I3049" s="3" t="s">
        <v>101</v>
      </c>
      <c r="J3049" s="3" t="s">
        <v>1920</v>
      </c>
      <c r="K3049" s="3" t="s">
        <v>2210</v>
      </c>
      <c r="L3049" s="4">
        <v>0.37708333333333338</v>
      </c>
      <c r="M3049" s="3" t="s">
        <v>2213</v>
      </c>
      <c r="N3049" s="3" t="s">
        <v>24</v>
      </c>
      <c r="O3049" s="3" t="s">
        <v>25</v>
      </c>
    </row>
    <row r="3050" spans="1:15">
      <c r="A3050" s="3" t="s">
        <v>15</v>
      </c>
      <c r="B3050" s="3" t="str">
        <f>"FES1162743082"</f>
        <v>FES1162743082</v>
      </c>
      <c r="C3050" s="3" t="s">
        <v>2154</v>
      </c>
      <c r="D3050" s="3">
        <v>1</v>
      </c>
      <c r="E3050" s="3" t="str">
        <f>"2170734464"</f>
        <v>2170734464</v>
      </c>
      <c r="F3050" s="3" t="s">
        <v>17</v>
      </c>
      <c r="G3050" s="3" t="s">
        <v>18</v>
      </c>
      <c r="H3050" s="3" t="s">
        <v>46</v>
      </c>
      <c r="I3050" s="3" t="s">
        <v>1073</v>
      </c>
      <c r="J3050" s="3" t="s">
        <v>1198</v>
      </c>
      <c r="K3050" s="3" t="s">
        <v>2154</v>
      </c>
      <c r="L3050" s="4">
        <v>0.70138888888888884</v>
      </c>
      <c r="M3050" s="3" t="s">
        <v>1199</v>
      </c>
      <c r="N3050" s="3" t="s">
        <v>24</v>
      </c>
      <c r="O3050" s="3" t="s">
        <v>25</v>
      </c>
    </row>
    <row r="3051" spans="1:15">
      <c r="A3051" s="3" t="s">
        <v>15</v>
      </c>
      <c r="B3051" s="3" t="str">
        <f>"FES1162743095"</f>
        <v>FES1162743095</v>
      </c>
      <c r="C3051" s="3" t="s">
        <v>2154</v>
      </c>
      <c r="D3051" s="3">
        <v>1</v>
      </c>
      <c r="E3051" s="3" t="str">
        <f>"2170734476"</f>
        <v>2170734476</v>
      </c>
      <c r="F3051" s="3" t="s">
        <v>17</v>
      </c>
      <c r="G3051" s="3" t="s">
        <v>18</v>
      </c>
      <c r="H3051" s="3" t="s">
        <v>46</v>
      </c>
      <c r="I3051" s="3" t="s">
        <v>1073</v>
      </c>
      <c r="J3051" s="3" t="s">
        <v>1198</v>
      </c>
      <c r="K3051" s="3" t="s">
        <v>2154</v>
      </c>
      <c r="L3051" s="4">
        <v>0.70138888888888884</v>
      </c>
      <c r="M3051" s="3" t="s">
        <v>1199</v>
      </c>
      <c r="N3051" s="3" t="s">
        <v>24</v>
      </c>
      <c r="O3051" s="3" t="s">
        <v>25</v>
      </c>
    </row>
    <row r="3052" spans="1:15">
      <c r="A3052" s="3" t="s">
        <v>15</v>
      </c>
      <c r="B3052" s="3" t="str">
        <f>"FES1162743425"</f>
        <v>FES1162743425</v>
      </c>
      <c r="C3052" s="3" t="s">
        <v>2154</v>
      </c>
      <c r="D3052" s="3">
        <v>1</v>
      </c>
      <c r="E3052" s="3" t="str">
        <f>"2170734862"</f>
        <v>2170734862</v>
      </c>
      <c r="F3052" s="3" t="s">
        <v>17</v>
      </c>
      <c r="G3052" s="3" t="s">
        <v>18</v>
      </c>
      <c r="H3052" s="3" t="s">
        <v>18</v>
      </c>
      <c r="I3052" s="3" t="s">
        <v>171</v>
      </c>
      <c r="J3052" s="3" t="s">
        <v>194</v>
      </c>
      <c r="K3052" s="3" t="s">
        <v>2210</v>
      </c>
      <c r="L3052" s="4">
        <v>0.34027777777777773</v>
      </c>
      <c r="M3052" s="3" t="s">
        <v>1168</v>
      </c>
      <c r="N3052" s="3" t="s">
        <v>24</v>
      </c>
      <c r="O3052" s="3" t="s">
        <v>25</v>
      </c>
    </row>
    <row r="3053" spans="1:15">
      <c r="A3053" s="3" t="s">
        <v>15</v>
      </c>
      <c r="B3053" s="3" t="str">
        <f>"FES1162743407"</f>
        <v>FES1162743407</v>
      </c>
      <c r="C3053" s="3" t="s">
        <v>2154</v>
      </c>
      <c r="D3053" s="3">
        <v>1</v>
      </c>
      <c r="E3053" s="3" t="str">
        <f>"2170734884"</f>
        <v>2170734884</v>
      </c>
      <c r="F3053" s="3" t="s">
        <v>17</v>
      </c>
      <c r="G3053" s="3" t="s">
        <v>18</v>
      </c>
      <c r="H3053" s="3" t="s">
        <v>36</v>
      </c>
      <c r="I3053" s="3" t="s">
        <v>37</v>
      </c>
      <c r="J3053" s="3" t="s">
        <v>38</v>
      </c>
      <c r="K3053" s="3" t="s">
        <v>2210</v>
      </c>
      <c r="L3053" s="4">
        <v>0.38819444444444445</v>
      </c>
      <c r="M3053" s="3" t="s">
        <v>2119</v>
      </c>
      <c r="N3053" s="3" t="s">
        <v>24</v>
      </c>
      <c r="O3053" s="3" t="s">
        <v>25</v>
      </c>
    </row>
    <row r="3054" spans="1:15">
      <c r="A3054" s="3" t="s">
        <v>15</v>
      </c>
      <c r="B3054" s="3" t="str">
        <f>"FES1162743406"</f>
        <v>FES1162743406</v>
      </c>
      <c r="C3054" s="3" t="s">
        <v>2154</v>
      </c>
      <c r="D3054" s="3">
        <v>1</v>
      </c>
      <c r="E3054" s="3" t="str">
        <f>"2170734843"</f>
        <v>2170734843</v>
      </c>
      <c r="F3054" s="3" t="s">
        <v>17</v>
      </c>
      <c r="G3054" s="3" t="s">
        <v>18</v>
      </c>
      <c r="H3054" s="3" t="s">
        <v>36</v>
      </c>
      <c r="I3054" s="3" t="s">
        <v>37</v>
      </c>
      <c r="J3054" s="3" t="s">
        <v>38</v>
      </c>
      <c r="K3054" s="3" t="s">
        <v>2210</v>
      </c>
      <c r="L3054" s="4">
        <v>0.38819444444444445</v>
      </c>
      <c r="M3054" s="3" t="s">
        <v>2119</v>
      </c>
      <c r="N3054" s="3" t="s">
        <v>24</v>
      </c>
      <c r="O3054" s="3" t="s">
        <v>25</v>
      </c>
    </row>
    <row r="3055" spans="1:15">
      <c r="A3055" s="3" t="s">
        <v>15</v>
      </c>
      <c r="B3055" s="3" t="str">
        <f>"FES1162743405"</f>
        <v>FES1162743405</v>
      </c>
      <c r="C3055" s="3" t="s">
        <v>2154</v>
      </c>
      <c r="D3055" s="3">
        <v>1</v>
      </c>
      <c r="E3055" s="3" t="str">
        <f>"2170734842"</f>
        <v>2170734842</v>
      </c>
      <c r="F3055" s="3" t="s">
        <v>17</v>
      </c>
      <c r="G3055" s="3" t="s">
        <v>18</v>
      </c>
      <c r="H3055" s="3" t="s">
        <v>36</v>
      </c>
      <c r="I3055" s="3" t="s">
        <v>37</v>
      </c>
      <c r="J3055" s="3" t="s">
        <v>38</v>
      </c>
      <c r="K3055" s="3" t="s">
        <v>2210</v>
      </c>
      <c r="L3055" s="4">
        <v>0.38819444444444445</v>
      </c>
      <c r="M3055" s="3" t="s">
        <v>2119</v>
      </c>
      <c r="N3055" s="3" t="s">
        <v>24</v>
      </c>
      <c r="O3055" s="3" t="s">
        <v>25</v>
      </c>
    </row>
    <row r="3056" spans="1:15">
      <c r="A3056" s="3" t="s">
        <v>15</v>
      </c>
      <c r="B3056" s="3" t="str">
        <f>"FES1162743408"</f>
        <v>FES1162743408</v>
      </c>
      <c r="C3056" s="3" t="s">
        <v>2154</v>
      </c>
      <c r="D3056" s="3">
        <v>1</v>
      </c>
      <c r="E3056" s="3" t="str">
        <f>"2170734845"</f>
        <v>2170734845</v>
      </c>
      <c r="F3056" s="3" t="s">
        <v>17</v>
      </c>
      <c r="G3056" s="3" t="s">
        <v>18</v>
      </c>
      <c r="H3056" s="3" t="s">
        <v>100</v>
      </c>
      <c r="I3056" s="3" t="s">
        <v>101</v>
      </c>
      <c r="J3056" s="3" t="s">
        <v>125</v>
      </c>
      <c r="K3056" s="3" t="s">
        <v>2210</v>
      </c>
      <c r="L3056" s="4">
        <v>0.29097222222222224</v>
      </c>
      <c r="M3056" s="3" t="s">
        <v>272</v>
      </c>
      <c r="N3056" s="3" t="s">
        <v>24</v>
      </c>
      <c r="O3056" s="3" t="s">
        <v>25</v>
      </c>
    </row>
    <row r="3057" spans="1:15">
      <c r="A3057" s="3" t="s">
        <v>15</v>
      </c>
      <c r="B3057" s="3" t="str">
        <f>"FES1162743365"</f>
        <v>FES1162743365</v>
      </c>
      <c r="C3057" s="3" t="s">
        <v>2154</v>
      </c>
      <c r="D3057" s="3">
        <v>1</v>
      </c>
      <c r="E3057" s="3" t="str">
        <f>"2170734801"</f>
        <v>2170734801</v>
      </c>
      <c r="F3057" s="3" t="s">
        <v>17</v>
      </c>
      <c r="G3057" s="3" t="s">
        <v>18</v>
      </c>
      <c r="H3057" s="3" t="s">
        <v>100</v>
      </c>
      <c r="I3057" s="3" t="s">
        <v>101</v>
      </c>
      <c r="J3057" s="3" t="s">
        <v>131</v>
      </c>
      <c r="K3057" s="3" t="s">
        <v>2210</v>
      </c>
      <c r="L3057" s="4">
        <v>0.35972222222222222</v>
      </c>
      <c r="M3057" s="3" t="s">
        <v>132</v>
      </c>
      <c r="N3057" s="3" t="s">
        <v>24</v>
      </c>
      <c r="O3057" s="3" t="s">
        <v>25</v>
      </c>
    </row>
    <row r="3058" spans="1:15">
      <c r="A3058" s="3" t="s">
        <v>15</v>
      </c>
      <c r="B3058" s="3" t="str">
        <f>"FES1162743355"</f>
        <v>FES1162743355</v>
      </c>
      <c r="C3058" s="3" t="s">
        <v>2154</v>
      </c>
      <c r="D3058" s="3">
        <v>1</v>
      </c>
      <c r="E3058" s="3" t="str">
        <f>"2170734790"</f>
        <v>2170734790</v>
      </c>
      <c r="F3058" s="3" t="s">
        <v>17</v>
      </c>
      <c r="G3058" s="3" t="s">
        <v>18</v>
      </c>
      <c r="H3058" s="3" t="s">
        <v>100</v>
      </c>
      <c r="I3058" s="3" t="s">
        <v>117</v>
      </c>
      <c r="J3058" s="3" t="s">
        <v>118</v>
      </c>
      <c r="K3058" s="3" t="s">
        <v>2210</v>
      </c>
      <c r="L3058" s="4">
        <v>0.35972222222222222</v>
      </c>
      <c r="M3058" s="3" t="s">
        <v>1436</v>
      </c>
      <c r="N3058" s="3" t="s">
        <v>24</v>
      </c>
      <c r="O3058" s="3" t="s">
        <v>25</v>
      </c>
    </row>
    <row r="3059" spans="1:15">
      <c r="A3059" s="3" t="s">
        <v>15</v>
      </c>
      <c r="B3059" s="3" t="str">
        <f>"FES1162743410"</f>
        <v>FES1162743410</v>
      </c>
      <c r="C3059" s="3" t="s">
        <v>2154</v>
      </c>
      <c r="D3059" s="3">
        <v>1</v>
      </c>
      <c r="E3059" s="3" t="str">
        <f>"2170734848"</f>
        <v>2170734848</v>
      </c>
      <c r="F3059" s="3" t="s">
        <v>17</v>
      </c>
      <c r="G3059" s="3" t="s">
        <v>18</v>
      </c>
      <c r="H3059" s="3" t="s">
        <v>18</v>
      </c>
      <c r="I3059" s="3" t="s">
        <v>151</v>
      </c>
      <c r="J3059" s="3" t="s">
        <v>2214</v>
      </c>
      <c r="K3059" s="3" t="s">
        <v>2210</v>
      </c>
      <c r="L3059" s="4">
        <v>0.42777777777777781</v>
      </c>
      <c r="M3059" s="3" t="s">
        <v>2215</v>
      </c>
      <c r="N3059" s="3" t="s">
        <v>24</v>
      </c>
      <c r="O3059" s="3" t="s">
        <v>25</v>
      </c>
    </row>
    <row r="3060" spans="1:15">
      <c r="A3060" s="3" t="s">
        <v>15</v>
      </c>
      <c r="B3060" s="3" t="str">
        <f>"RFES1162742944"</f>
        <v>RFES1162742944</v>
      </c>
      <c r="C3060" s="3" t="s">
        <v>2154</v>
      </c>
      <c r="D3060" s="3">
        <v>1</v>
      </c>
      <c r="E3060" s="3" t="str">
        <f>"21707324440"</f>
        <v>21707324440</v>
      </c>
      <c r="F3060" s="3" t="s">
        <v>17</v>
      </c>
      <c r="G3060" s="3" t="s">
        <v>66</v>
      </c>
      <c r="H3060" s="3" t="s">
        <v>18</v>
      </c>
      <c r="I3060" s="3" t="s">
        <v>29</v>
      </c>
      <c r="J3060" s="3" t="s">
        <v>30</v>
      </c>
      <c r="K3060" s="3" t="s">
        <v>2210</v>
      </c>
      <c r="L3060" s="4">
        <v>0.37291666666666662</v>
      </c>
      <c r="M3060" s="3" t="s">
        <v>31</v>
      </c>
      <c r="N3060" s="3" t="s">
        <v>24</v>
      </c>
      <c r="O3060" s="3" t="s">
        <v>25</v>
      </c>
    </row>
    <row r="3061" spans="1:15">
      <c r="A3061" s="3" t="s">
        <v>15</v>
      </c>
      <c r="B3061" s="3" t="str">
        <f>"FES1162743313"</f>
        <v>FES1162743313</v>
      </c>
      <c r="C3061" s="3" t="s">
        <v>2154</v>
      </c>
      <c r="D3061" s="3">
        <v>1</v>
      </c>
      <c r="E3061" s="3" t="str">
        <f>"2170734735"</f>
        <v>2170734735</v>
      </c>
      <c r="F3061" s="3" t="s">
        <v>17</v>
      </c>
      <c r="G3061" s="3" t="s">
        <v>18</v>
      </c>
      <c r="H3061" s="3" t="s">
        <v>100</v>
      </c>
      <c r="I3061" s="3" t="s">
        <v>101</v>
      </c>
      <c r="J3061" s="3" t="s">
        <v>265</v>
      </c>
      <c r="K3061" s="3" t="s">
        <v>2210</v>
      </c>
      <c r="L3061" s="4">
        <v>0.31388888888888888</v>
      </c>
      <c r="M3061" s="3" t="s">
        <v>128</v>
      </c>
      <c r="N3061" s="3" t="s">
        <v>24</v>
      </c>
      <c r="O3061" s="3" t="s">
        <v>25</v>
      </c>
    </row>
    <row r="3062" spans="1:15">
      <c r="A3062" s="3" t="s">
        <v>15</v>
      </c>
      <c r="B3062" s="3" t="str">
        <f>"FES1162743330"</f>
        <v>FES1162743330</v>
      </c>
      <c r="C3062" s="3" t="s">
        <v>2154</v>
      </c>
      <c r="D3062" s="3">
        <v>1</v>
      </c>
      <c r="E3062" s="3" t="str">
        <f>"2170734754"</f>
        <v>2170734754</v>
      </c>
      <c r="F3062" s="3" t="s">
        <v>17</v>
      </c>
      <c r="G3062" s="3" t="s">
        <v>18</v>
      </c>
      <c r="H3062" s="3" t="s">
        <v>537</v>
      </c>
      <c r="I3062" s="3" t="s">
        <v>538</v>
      </c>
      <c r="J3062" s="3" t="s">
        <v>1106</v>
      </c>
      <c r="K3062" s="3" t="s">
        <v>2210</v>
      </c>
      <c r="L3062" s="4">
        <v>0.42569444444444443</v>
      </c>
      <c r="M3062" s="3" t="s">
        <v>1568</v>
      </c>
      <c r="N3062" s="3" t="s">
        <v>24</v>
      </c>
      <c r="O3062" s="3" t="s">
        <v>25</v>
      </c>
    </row>
    <row r="3063" spans="1:15">
      <c r="A3063" s="3" t="s">
        <v>15</v>
      </c>
      <c r="B3063" s="3" t="str">
        <f>"RFES1162742493"</f>
        <v>RFES1162742493</v>
      </c>
      <c r="C3063" s="3" t="s">
        <v>2154</v>
      </c>
      <c r="D3063" s="3">
        <v>1</v>
      </c>
      <c r="E3063" s="3" t="str">
        <f>"2170734010"</f>
        <v>2170734010</v>
      </c>
      <c r="F3063" s="3" t="s">
        <v>17</v>
      </c>
      <c r="G3063" s="3" t="s">
        <v>18</v>
      </c>
      <c r="H3063" s="3" t="s">
        <v>18</v>
      </c>
      <c r="I3063" s="3" t="s">
        <v>29</v>
      </c>
      <c r="J3063" s="3" t="s">
        <v>30</v>
      </c>
      <c r="K3063" s="3" t="s">
        <v>2210</v>
      </c>
      <c r="L3063" s="4">
        <v>0.37291666666666662</v>
      </c>
      <c r="M3063" s="3" t="s">
        <v>1432</v>
      </c>
      <c r="N3063" s="3" t="s">
        <v>24</v>
      </c>
      <c r="O3063" s="3" t="s">
        <v>25</v>
      </c>
    </row>
    <row r="3064" spans="1:15">
      <c r="A3064" s="3" t="s">
        <v>15</v>
      </c>
      <c r="B3064" s="3" t="str">
        <f>"FES1162743263"</f>
        <v>FES1162743263</v>
      </c>
      <c r="C3064" s="3" t="s">
        <v>2154</v>
      </c>
      <c r="D3064" s="3">
        <v>2</v>
      </c>
      <c r="E3064" s="3" t="str">
        <f>"2170734317"</f>
        <v>2170734317</v>
      </c>
      <c r="F3064" s="3" t="s">
        <v>17</v>
      </c>
      <c r="G3064" s="3" t="s">
        <v>18</v>
      </c>
      <c r="H3064" s="3" t="s">
        <v>19</v>
      </c>
      <c r="I3064" s="3" t="s">
        <v>20</v>
      </c>
      <c r="J3064" s="3" t="s">
        <v>223</v>
      </c>
      <c r="K3064" s="3" t="s">
        <v>2210</v>
      </c>
      <c r="L3064" s="4">
        <v>0.39930555555555558</v>
      </c>
      <c r="M3064" s="3" t="s">
        <v>2216</v>
      </c>
      <c r="N3064" s="3" t="s">
        <v>24</v>
      </c>
      <c r="O3064" s="3" t="s">
        <v>25</v>
      </c>
    </row>
    <row r="3065" spans="1:15">
      <c r="A3065" s="7" t="s">
        <v>15</v>
      </c>
      <c r="B3065" s="7" t="str">
        <f>"FES1162743248"</f>
        <v>FES1162743248</v>
      </c>
      <c r="C3065" s="7" t="s">
        <v>2154</v>
      </c>
      <c r="D3065" s="7">
        <v>1</v>
      </c>
      <c r="E3065" s="7" t="str">
        <f>"2170732589"</f>
        <v>2170732589</v>
      </c>
      <c r="F3065" s="7" t="s">
        <v>17</v>
      </c>
      <c r="G3065" s="7" t="s">
        <v>18</v>
      </c>
      <c r="H3065" s="7" t="s">
        <v>70</v>
      </c>
      <c r="I3065" s="7" t="s">
        <v>71</v>
      </c>
      <c r="J3065" s="7" t="s">
        <v>422</v>
      </c>
      <c r="K3065" s="7" t="s">
        <v>447</v>
      </c>
      <c r="L3065" s="7"/>
      <c r="M3065" s="7" t="s">
        <v>448</v>
      </c>
      <c r="N3065" s="7" t="s">
        <v>2217</v>
      </c>
      <c r="O3065" s="7" t="s">
        <v>2217</v>
      </c>
    </row>
    <row r="3066" spans="1:15">
      <c r="A3066" s="3" t="s">
        <v>15</v>
      </c>
      <c r="B3066" s="3" t="str">
        <f>"FES1162743276"</f>
        <v>FES1162743276</v>
      </c>
      <c r="C3066" s="3" t="s">
        <v>2154</v>
      </c>
      <c r="D3066" s="3">
        <v>1</v>
      </c>
      <c r="E3066" s="3" t="str">
        <f>"2170734692"</f>
        <v>2170734692</v>
      </c>
      <c r="F3066" s="3" t="s">
        <v>17</v>
      </c>
      <c r="G3066" s="3" t="s">
        <v>18</v>
      </c>
      <c r="H3066" s="3" t="s">
        <v>70</v>
      </c>
      <c r="I3066" s="3" t="s">
        <v>507</v>
      </c>
      <c r="J3066" s="3" t="s">
        <v>508</v>
      </c>
      <c r="K3066" s="3" t="s">
        <v>2210</v>
      </c>
      <c r="L3066" s="4">
        <v>0.47152777777777777</v>
      </c>
      <c r="M3066" s="3" t="s">
        <v>2218</v>
      </c>
      <c r="N3066" s="3" t="s">
        <v>24</v>
      </c>
      <c r="O3066" s="3" t="s">
        <v>25</v>
      </c>
    </row>
    <row r="3067" spans="1:15">
      <c r="A3067" s="3" t="s">
        <v>15</v>
      </c>
      <c r="B3067" s="3" t="str">
        <f>"FES1162743268"</f>
        <v>FES1162743268</v>
      </c>
      <c r="C3067" s="3" t="s">
        <v>2154</v>
      </c>
      <c r="D3067" s="3">
        <v>1</v>
      </c>
      <c r="E3067" s="3" t="str">
        <f>"2170734671"</f>
        <v>2170734671</v>
      </c>
      <c r="F3067" s="3" t="s">
        <v>17</v>
      </c>
      <c r="G3067" s="3" t="s">
        <v>18</v>
      </c>
      <c r="H3067" s="3" t="s">
        <v>19</v>
      </c>
      <c r="I3067" s="3" t="s">
        <v>51</v>
      </c>
      <c r="J3067" s="3" t="s">
        <v>2060</v>
      </c>
      <c r="K3067" s="3" t="s">
        <v>2210</v>
      </c>
      <c r="L3067" s="4">
        <v>0.3263888888888889</v>
      </c>
      <c r="M3067" s="3" t="s">
        <v>2061</v>
      </c>
      <c r="N3067" s="3" t="s">
        <v>24</v>
      </c>
      <c r="O3067" s="3" t="s">
        <v>25</v>
      </c>
    </row>
    <row r="3068" spans="1:15">
      <c r="A3068" s="3" t="s">
        <v>15</v>
      </c>
      <c r="B3068" s="3" t="str">
        <f>"FES1162743275"</f>
        <v>FES1162743275</v>
      </c>
      <c r="C3068" s="3" t="s">
        <v>2154</v>
      </c>
      <c r="D3068" s="3">
        <v>1</v>
      </c>
      <c r="E3068" s="3" t="str">
        <f>"2170734690"</f>
        <v>2170734690</v>
      </c>
      <c r="F3068" s="3" t="s">
        <v>17</v>
      </c>
      <c r="G3068" s="3" t="s">
        <v>18</v>
      </c>
      <c r="H3068" s="3" t="s">
        <v>100</v>
      </c>
      <c r="I3068" s="3" t="s">
        <v>101</v>
      </c>
      <c r="J3068" s="3" t="s">
        <v>142</v>
      </c>
      <c r="K3068" s="3" t="s">
        <v>2210</v>
      </c>
      <c r="L3068" s="4">
        <v>0.33611111111111108</v>
      </c>
      <c r="M3068" s="3" t="s">
        <v>2219</v>
      </c>
      <c r="N3068" s="3" t="s">
        <v>24</v>
      </c>
      <c r="O3068" s="3" t="s">
        <v>25</v>
      </c>
    </row>
    <row r="3069" spans="1:15">
      <c r="A3069" s="3" t="s">
        <v>15</v>
      </c>
      <c r="B3069" s="3" t="str">
        <f>"FES1162743288"</f>
        <v>FES1162743288</v>
      </c>
      <c r="C3069" s="3" t="s">
        <v>2154</v>
      </c>
      <c r="D3069" s="3">
        <v>1</v>
      </c>
      <c r="E3069" s="3" t="str">
        <f>"2170734706"</f>
        <v>2170734706</v>
      </c>
      <c r="F3069" s="3" t="s">
        <v>17</v>
      </c>
      <c r="G3069" s="3" t="s">
        <v>18</v>
      </c>
      <c r="H3069" s="3" t="s">
        <v>100</v>
      </c>
      <c r="I3069" s="3" t="s">
        <v>101</v>
      </c>
      <c r="J3069" s="3" t="s">
        <v>265</v>
      </c>
      <c r="K3069" s="3" t="s">
        <v>2210</v>
      </c>
      <c r="L3069" s="4">
        <v>0.31458333333333333</v>
      </c>
      <c r="M3069" s="3" t="s">
        <v>128</v>
      </c>
      <c r="N3069" s="3" t="s">
        <v>24</v>
      </c>
      <c r="O3069" s="3" t="s">
        <v>25</v>
      </c>
    </row>
    <row r="3070" spans="1:15">
      <c r="A3070" s="3" t="s">
        <v>15</v>
      </c>
      <c r="B3070" s="3" t="str">
        <f>"FES1162743255"</f>
        <v>FES1162743255</v>
      </c>
      <c r="C3070" s="3" t="s">
        <v>2154</v>
      </c>
      <c r="D3070" s="3">
        <v>1</v>
      </c>
      <c r="E3070" s="3" t="str">
        <f>"2170733794"</f>
        <v>2170733794</v>
      </c>
      <c r="F3070" s="3" t="s">
        <v>17</v>
      </c>
      <c r="G3070" s="3" t="s">
        <v>18</v>
      </c>
      <c r="H3070" s="3" t="s">
        <v>18</v>
      </c>
      <c r="I3070" s="3" t="s">
        <v>903</v>
      </c>
      <c r="J3070" s="3" t="s">
        <v>1203</v>
      </c>
      <c r="K3070" s="3" t="s">
        <v>2210</v>
      </c>
      <c r="L3070" s="4">
        <v>0.33333333333333331</v>
      </c>
      <c r="M3070" s="3" t="s">
        <v>2220</v>
      </c>
      <c r="N3070" s="3" t="s">
        <v>24</v>
      </c>
      <c r="O3070" s="3" t="s">
        <v>25</v>
      </c>
    </row>
    <row r="3071" spans="1:15">
      <c r="A3071" s="3" t="s">
        <v>15</v>
      </c>
      <c r="B3071" s="3" t="str">
        <f>"FES1162743254"</f>
        <v>FES1162743254</v>
      </c>
      <c r="C3071" s="3" t="s">
        <v>2154</v>
      </c>
      <c r="D3071" s="3">
        <v>1</v>
      </c>
      <c r="E3071" s="3" t="str">
        <f>"2170733675"</f>
        <v>2170733675</v>
      </c>
      <c r="F3071" s="3" t="s">
        <v>17</v>
      </c>
      <c r="G3071" s="3" t="s">
        <v>18</v>
      </c>
      <c r="H3071" s="3" t="s">
        <v>19</v>
      </c>
      <c r="I3071" s="3" t="s">
        <v>20</v>
      </c>
      <c r="J3071" s="3" t="s">
        <v>420</v>
      </c>
      <c r="K3071" s="3" t="s">
        <v>2210</v>
      </c>
      <c r="L3071" s="4">
        <v>0.34097222222222223</v>
      </c>
      <c r="M3071" s="3" t="s">
        <v>1188</v>
      </c>
      <c r="N3071" s="3" t="s">
        <v>24</v>
      </c>
      <c r="O3071" s="3" t="s">
        <v>25</v>
      </c>
    </row>
    <row r="3072" spans="1:15">
      <c r="A3072" s="3" t="s">
        <v>15</v>
      </c>
      <c r="B3072" s="3" t="str">
        <f>"FES1162743284"</f>
        <v>FES1162743284</v>
      </c>
      <c r="C3072" s="3" t="s">
        <v>2154</v>
      </c>
      <c r="D3072" s="3">
        <v>1</v>
      </c>
      <c r="E3072" s="3" t="str">
        <f>"2170731377"</f>
        <v>2170731377</v>
      </c>
      <c r="F3072" s="3" t="s">
        <v>17</v>
      </c>
      <c r="G3072" s="3" t="s">
        <v>18</v>
      </c>
      <c r="H3072" s="3" t="s">
        <v>46</v>
      </c>
      <c r="I3072" s="3" t="s">
        <v>47</v>
      </c>
      <c r="J3072" s="3" t="s">
        <v>677</v>
      </c>
      <c r="K3072" s="3" t="s">
        <v>2210</v>
      </c>
      <c r="L3072" s="4">
        <v>0.43333333333333335</v>
      </c>
      <c r="M3072" s="3" t="s">
        <v>2221</v>
      </c>
      <c r="N3072" s="3" t="s">
        <v>24</v>
      </c>
      <c r="O3072" s="3" t="s">
        <v>25</v>
      </c>
    </row>
    <row r="3073" spans="1:15">
      <c r="A3073" s="3" t="s">
        <v>15</v>
      </c>
      <c r="B3073" s="3" t="str">
        <f>"FES1162743290"</f>
        <v>FES1162743290</v>
      </c>
      <c r="C3073" s="3" t="s">
        <v>2154</v>
      </c>
      <c r="D3073" s="3">
        <v>1</v>
      </c>
      <c r="E3073" s="3" t="str">
        <f>"2170734704"</f>
        <v>2170734704</v>
      </c>
      <c r="F3073" s="3" t="s">
        <v>17</v>
      </c>
      <c r="G3073" s="3" t="s">
        <v>18</v>
      </c>
      <c r="H3073" s="3" t="s">
        <v>18</v>
      </c>
      <c r="I3073" s="3" t="s">
        <v>903</v>
      </c>
      <c r="J3073" s="3" t="s">
        <v>904</v>
      </c>
      <c r="K3073" s="3" t="s">
        <v>2210</v>
      </c>
      <c r="L3073" s="4">
        <v>0.33333333333333331</v>
      </c>
      <c r="M3073" s="3" t="s">
        <v>1168</v>
      </c>
      <c r="N3073" s="3" t="s">
        <v>24</v>
      </c>
      <c r="O3073" s="3" t="s">
        <v>25</v>
      </c>
    </row>
    <row r="3074" spans="1:15">
      <c r="A3074" s="3" t="s">
        <v>15</v>
      </c>
      <c r="B3074" s="3" t="str">
        <f>"FES1162743305"</f>
        <v>FES1162743305</v>
      </c>
      <c r="C3074" s="3" t="s">
        <v>2154</v>
      </c>
      <c r="D3074" s="3">
        <v>1</v>
      </c>
      <c r="E3074" s="3" t="str">
        <f>"2170734726"</f>
        <v>2170734726</v>
      </c>
      <c r="F3074" s="3" t="s">
        <v>17</v>
      </c>
      <c r="G3074" s="3" t="s">
        <v>18</v>
      </c>
      <c r="H3074" s="3" t="s">
        <v>36</v>
      </c>
      <c r="I3074" s="3" t="s">
        <v>37</v>
      </c>
      <c r="J3074" s="3" t="s">
        <v>2222</v>
      </c>
      <c r="K3074" s="3" t="s">
        <v>2210</v>
      </c>
      <c r="L3074" s="4">
        <v>0.35069444444444442</v>
      </c>
      <c r="M3074" s="3" t="s">
        <v>2223</v>
      </c>
      <c r="N3074" s="3" t="s">
        <v>24</v>
      </c>
      <c r="O3074" s="3" t="s">
        <v>25</v>
      </c>
    </row>
    <row r="3075" spans="1:15">
      <c r="A3075" s="3" t="s">
        <v>15</v>
      </c>
      <c r="B3075" s="3" t="str">
        <f>"FES1162743271"</f>
        <v>FES1162743271</v>
      </c>
      <c r="C3075" s="3" t="s">
        <v>2154</v>
      </c>
      <c r="D3075" s="3">
        <v>1</v>
      </c>
      <c r="E3075" s="3" t="str">
        <f>"2170734686"</f>
        <v>2170734686</v>
      </c>
      <c r="F3075" s="3" t="s">
        <v>17</v>
      </c>
      <c r="G3075" s="3" t="s">
        <v>18</v>
      </c>
      <c r="H3075" s="3" t="s">
        <v>18</v>
      </c>
      <c r="I3075" s="3" t="s">
        <v>171</v>
      </c>
      <c r="J3075" s="3" t="s">
        <v>369</v>
      </c>
      <c r="K3075" s="3" t="s">
        <v>2210</v>
      </c>
      <c r="L3075" s="4">
        <v>0.34513888888888888</v>
      </c>
      <c r="M3075" s="3" t="s">
        <v>370</v>
      </c>
      <c r="N3075" s="3" t="s">
        <v>24</v>
      </c>
      <c r="O3075" s="3" t="s">
        <v>25</v>
      </c>
    </row>
    <row r="3076" spans="1:15">
      <c r="A3076" s="3" t="s">
        <v>15</v>
      </c>
      <c r="B3076" s="3" t="str">
        <f>"FES1162743279"</f>
        <v>FES1162743279</v>
      </c>
      <c r="C3076" s="3" t="s">
        <v>2154</v>
      </c>
      <c r="D3076" s="3">
        <v>1</v>
      </c>
      <c r="E3076" s="3" t="str">
        <f>"2170734695"</f>
        <v>2170734695</v>
      </c>
      <c r="F3076" s="3" t="s">
        <v>17</v>
      </c>
      <c r="G3076" s="3" t="s">
        <v>18</v>
      </c>
      <c r="H3076" s="3" t="s">
        <v>19</v>
      </c>
      <c r="I3076" s="3" t="s">
        <v>20</v>
      </c>
      <c r="J3076" s="3" t="s">
        <v>2224</v>
      </c>
      <c r="K3076" s="3" t="s">
        <v>2210</v>
      </c>
      <c r="L3076" s="4">
        <v>0.3659722222222222</v>
      </c>
      <c r="M3076" s="3" t="s">
        <v>2225</v>
      </c>
      <c r="N3076" s="3" t="s">
        <v>24</v>
      </c>
      <c r="O3076" s="3" t="s">
        <v>25</v>
      </c>
    </row>
    <row r="3077" spans="1:15">
      <c r="A3077" s="3" t="s">
        <v>15</v>
      </c>
      <c r="B3077" s="3" t="str">
        <f>"FES1162743281"</f>
        <v>FES1162743281</v>
      </c>
      <c r="C3077" s="3" t="s">
        <v>2154</v>
      </c>
      <c r="D3077" s="3">
        <v>1</v>
      </c>
      <c r="E3077" s="3" t="str">
        <f>"2170734698"</f>
        <v>2170734698</v>
      </c>
      <c r="F3077" s="3" t="s">
        <v>17</v>
      </c>
      <c r="G3077" s="3" t="s">
        <v>18</v>
      </c>
      <c r="H3077" s="3" t="s">
        <v>66</v>
      </c>
      <c r="I3077" s="3" t="s">
        <v>177</v>
      </c>
      <c r="J3077" s="3" t="s">
        <v>597</v>
      </c>
      <c r="K3077" s="3" t="s">
        <v>2210</v>
      </c>
      <c r="L3077" s="4">
        <v>0.45833333333333331</v>
      </c>
      <c r="M3077" s="3" t="s">
        <v>2226</v>
      </c>
      <c r="N3077" s="3" t="s">
        <v>24</v>
      </c>
      <c r="O3077" s="3" t="s">
        <v>25</v>
      </c>
    </row>
    <row r="3078" spans="1:15">
      <c r="A3078" s="3" t="s">
        <v>15</v>
      </c>
      <c r="B3078" s="3" t="str">
        <f>"FES1162743246"</f>
        <v>FES1162743246</v>
      </c>
      <c r="C3078" s="3" t="s">
        <v>2154</v>
      </c>
      <c r="D3078" s="3">
        <v>1</v>
      </c>
      <c r="E3078" s="3" t="str">
        <f>"2170732051"</f>
        <v>2170732051</v>
      </c>
      <c r="F3078" s="3" t="s">
        <v>17</v>
      </c>
      <c r="G3078" s="3" t="s">
        <v>18</v>
      </c>
      <c r="H3078" s="3" t="s">
        <v>66</v>
      </c>
      <c r="I3078" s="3" t="s">
        <v>177</v>
      </c>
      <c r="J3078" s="3" t="s">
        <v>505</v>
      </c>
      <c r="K3078" s="3" t="s">
        <v>2210</v>
      </c>
      <c r="L3078" s="4">
        <v>0.41111111111111115</v>
      </c>
      <c r="M3078" s="3" t="s">
        <v>2227</v>
      </c>
      <c r="N3078" s="3" t="s">
        <v>24</v>
      </c>
      <c r="O3078" s="3" t="s">
        <v>25</v>
      </c>
    </row>
    <row r="3079" spans="1:15">
      <c r="A3079" s="3" t="s">
        <v>15</v>
      </c>
      <c r="B3079" s="3" t="str">
        <f>"FES1162743278"</f>
        <v>FES1162743278</v>
      </c>
      <c r="C3079" s="3" t="s">
        <v>2154</v>
      </c>
      <c r="D3079" s="3">
        <v>1</v>
      </c>
      <c r="E3079" s="3" t="str">
        <f>"2170734694"</f>
        <v>2170734694</v>
      </c>
      <c r="F3079" s="3" t="s">
        <v>17</v>
      </c>
      <c r="G3079" s="3" t="s">
        <v>18</v>
      </c>
      <c r="H3079" s="3" t="s">
        <v>70</v>
      </c>
      <c r="I3079" s="3" t="s">
        <v>71</v>
      </c>
      <c r="J3079" s="3" t="s">
        <v>79</v>
      </c>
      <c r="K3079" s="3" t="s">
        <v>2210</v>
      </c>
      <c r="L3079" s="4">
        <v>0.40208333333333335</v>
      </c>
      <c r="M3079" s="3" t="s">
        <v>2228</v>
      </c>
      <c r="N3079" s="3" t="s">
        <v>24</v>
      </c>
      <c r="O3079" s="3" t="s">
        <v>25</v>
      </c>
    </row>
    <row r="3080" spans="1:15">
      <c r="A3080" s="3" t="s">
        <v>15</v>
      </c>
      <c r="B3080" s="3" t="str">
        <f>"FES1162743297"</f>
        <v>FES1162743297</v>
      </c>
      <c r="C3080" s="3" t="s">
        <v>2154</v>
      </c>
      <c r="D3080" s="3">
        <v>1</v>
      </c>
      <c r="E3080" s="3" t="str">
        <f>"2170734714"</f>
        <v>2170734714</v>
      </c>
      <c r="F3080" s="3" t="s">
        <v>17</v>
      </c>
      <c r="G3080" s="3" t="s">
        <v>18</v>
      </c>
      <c r="H3080" s="3" t="s">
        <v>19</v>
      </c>
      <c r="I3080" s="3" t="s">
        <v>1693</v>
      </c>
      <c r="J3080" s="3" t="s">
        <v>1694</v>
      </c>
      <c r="K3080" s="3" t="s">
        <v>2210</v>
      </c>
      <c r="L3080" s="4">
        <v>0.37152777777777773</v>
      </c>
      <c r="M3080" s="3" t="s">
        <v>2229</v>
      </c>
      <c r="N3080" s="3" t="s">
        <v>24</v>
      </c>
      <c r="O3080" s="3" t="s">
        <v>25</v>
      </c>
    </row>
    <row r="3081" spans="1:15">
      <c r="A3081" s="3" t="s">
        <v>15</v>
      </c>
      <c r="B3081" s="3" t="str">
        <f>"FES1162743267"</f>
        <v>FES1162743267</v>
      </c>
      <c r="C3081" s="3" t="s">
        <v>2154</v>
      </c>
      <c r="D3081" s="3">
        <v>1</v>
      </c>
      <c r="E3081" s="3" t="str">
        <f>"2170734526"</f>
        <v>2170734526</v>
      </c>
      <c r="F3081" s="3" t="s">
        <v>17</v>
      </c>
      <c r="G3081" s="3" t="s">
        <v>18</v>
      </c>
      <c r="H3081" s="3" t="s">
        <v>18</v>
      </c>
      <c r="I3081" s="3" t="s">
        <v>29</v>
      </c>
      <c r="J3081" s="3" t="s">
        <v>1902</v>
      </c>
      <c r="K3081" s="3" t="s">
        <v>2210</v>
      </c>
      <c r="L3081" s="4">
        <v>0.41666666666666669</v>
      </c>
      <c r="M3081" s="3" t="s">
        <v>1903</v>
      </c>
      <c r="N3081" s="3" t="s">
        <v>24</v>
      </c>
      <c r="O3081" s="3" t="s">
        <v>25</v>
      </c>
    </row>
    <row r="3082" spans="1:15">
      <c r="A3082" s="3" t="s">
        <v>15</v>
      </c>
      <c r="B3082" s="3" t="str">
        <f>"FES1162743273"</f>
        <v>FES1162743273</v>
      </c>
      <c r="C3082" s="3" t="s">
        <v>2154</v>
      </c>
      <c r="D3082" s="3">
        <v>1</v>
      </c>
      <c r="E3082" s="3" t="str">
        <f>"2170734688"</f>
        <v>2170734688</v>
      </c>
      <c r="F3082" s="3" t="s">
        <v>17</v>
      </c>
      <c r="G3082" s="3" t="s">
        <v>18</v>
      </c>
      <c r="H3082" s="3" t="s">
        <v>46</v>
      </c>
      <c r="I3082" s="3" t="s">
        <v>47</v>
      </c>
      <c r="J3082" s="3" t="s">
        <v>233</v>
      </c>
      <c r="K3082" s="3" t="s">
        <v>2210</v>
      </c>
      <c r="L3082" s="4">
        <v>0.4291666666666667</v>
      </c>
      <c r="M3082" s="3" t="s">
        <v>2230</v>
      </c>
      <c r="N3082" s="3" t="s">
        <v>24</v>
      </c>
      <c r="O3082" s="3" t="s">
        <v>25</v>
      </c>
    </row>
    <row r="3083" spans="1:15">
      <c r="A3083" s="3" t="s">
        <v>15</v>
      </c>
      <c r="B3083" s="3" t="str">
        <f>"FES1162743249"</f>
        <v>FES1162743249</v>
      </c>
      <c r="C3083" s="3" t="s">
        <v>2154</v>
      </c>
      <c r="D3083" s="3">
        <v>1</v>
      </c>
      <c r="E3083" s="3" t="str">
        <f>"2170732719"</f>
        <v>2170732719</v>
      </c>
      <c r="F3083" s="3" t="s">
        <v>17</v>
      </c>
      <c r="G3083" s="3" t="s">
        <v>18</v>
      </c>
      <c r="H3083" s="3" t="s">
        <v>70</v>
      </c>
      <c r="I3083" s="3" t="s">
        <v>931</v>
      </c>
      <c r="J3083" s="3" t="s">
        <v>497</v>
      </c>
      <c r="K3083" s="3" t="s">
        <v>2210</v>
      </c>
      <c r="L3083" s="4">
        <v>0.48402777777777778</v>
      </c>
      <c r="M3083" s="3" t="s">
        <v>932</v>
      </c>
      <c r="N3083" s="3" t="s">
        <v>24</v>
      </c>
      <c r="O3083" s="3" t="s">
        <v>25</v>
      </c>
    </row>
    <row r="3084" spans="1:15">
      <c r="A3084" s="3" t="s">
        <v>15</v>
      </c>
      <c r="B3084" s="3" t="str">
        <f>"FES1162743277"</f>
        <v>FES1162743277</v>
      </c>
      <c r="C3084" s="3" t="s">
        <v>2154</v>
      </c>
      <c r="D3084" s="3">
        <v>1</v>
      </c>
      <c r="E3084" s="3" t="str">
        <f>"2170734693"</f>
        <v>2170734693</v>
      </c>
      <c r="F3084" s="3" t="s">
        <v>17</v>
      </c>
      <c r="G3084" s="3" t="s">
        <v>18</v>
      </c>
      <c r="H3084" s="3" t="s">
        <v>70</v>
      </c>
      <c r="I3084" s="3" t="s">
        <v>507</v>
      </c>
      <c r="J3084" s="3" t="s">
        <v>508</v>
      </c>
      <c r="K3084" s="3" t="s">
        <v>2210</v>
      </c>
      <c r="L3084" s="4">
        <v>0.47152777777777777</v>
      </c>
      <c r="M3084" s="3" t="s">
        <v>509</v>
      </c>
      <c r="N3084" s="3" t="s">
        <v>24</v>
      </c>
      <c r="O3084" s="3" t="s">
        <v>25</v>
      </c>
    </row>
    <row r="3085" spans="1:15">
      <c r="A3085" s="3" t="s">
        <v>15</v>
      </c>
      <c r="B3085" s="3" t="str">
        <f>"FES1162743262"</f>
        <v>FES1162743262</v>
      </c>
      <c r="C3085" s="3" t="s">
        <v>2154</v>
      </c>
      <c r="D3085" s="3">
        <v>1</v>
      </c>
      <c r="E3085" s="3" t="str">
        <f>"2170734274"</f>
        <v>2170734274</v>
      </c>
      <c r="F3085" s="3" t="s">
        <v>17</v>
      </c>
      <c r="G3085" s="3" t="s">
        <v>18</v>
      </c>
      <c r="H3085" s="3" t="s">
        <v>70</v>
      </c>
      <c r="I3085" s="3" t="s">
        <v>71</v>
      </c>
      <c r="J3085" s="3" t="s">
        <v>392</v>
      </c>
      <c r="K3085" s="3" t="s">
        <v>2210</v>
      </c>
      <c r="L3085" s="4">
        <v>0.51388888888888895</v>
      </c>
      <c r="M3085" s="3" t="s">
        <v>885</v>
      </c>
      <c r="N3085" s="3" t="s">
        <v>24</v>
      </c>
      <c r="O3085" s="3" t="s">
        <v>25</v>
      </c>
    </row>
    <row r="3086" spans="1:15">
      <c r="A3086" s="3" t="s">
        <v>15</v>
      </c>
      <c r="B3086" s="3" t="str">
        <f>"FES1162743256"</f>
        <v>FES1162743256</v>
      </c>
      <c r="C3086" s="3" t="s">
        <v>2154</v>
      </c>
      <c r="D3086" s="3">
        <v>1</v>
      </c>
      <c r="E3086" s="3" t="str">
        <f>"2170733809"</f>
        <v>2170733809</v>
      </c>
      <c r="F3086" s="3" t="s">
        <v>17</v>
      </c>
      <c r="G3086" s="3" t="s">
        <v>18</v>
      </c>
      <c r="H3086" s="3" t="s">
        <v>46</v>
      </c>
      <c r="I3086" s="3" t="s">
        <v>47</v>
      </c>
      <c r="J3086" s="3" t="s">
        <v>390</v>
      </c>
      <c r="K3086" s="3" t="s">
        <v>2210</v>
      </c>
      <c r="L3086" s="4">
        <v>0.42777777777777781</v>
      </c>
      <c r="M3086" s="3" t="s">
        <v>1856</v>
      </c>
      <c r="N3086" s="3" t="s">
        <v>24</v>
      </c>
      <c r="O3086" s="3" t="s">
        <v>25</v>
      </c>
    </row>
    <row r="3087" spans="1:15">
      <c r="A3087" s="3" t="s">
        <v>15</v>
      </c>
      <c r="B3087" s="3" t="str">
        <f>"FES1162743259"</f>
        <v>FES1162743259</v>
      </c>
      <c r="C3087" s="3" t="s">
        <v>2154</v>
      </c>
      <c r="D3087" s="3">
        <v>1</v>
      </c>
      <c r="E3087" s="3" t="str">
        <f>"2170734105"</f>
        <v>2170734105</v>
      </c>
      <c r="F3087" s="3" t="s">
        <v>17</v>
      </c>
      <c r="G3087" s="3" t="s">
        <v>18</v>
      </c>
      <c r="H3087" s="3" t="s">
        <v>46</v>
      </c>
      <c r="I3087" s="3" t="s">
        <v>47</v>
      </c>
      <c r="J3087" s="3" t="s">
        <v>390</v>
      </c>
      <c r="K3087" s="3" t="s">
        <v>2210</v>
      </c>
      <c r="L3087" s="4">
        <v>0.42638888888888887</v>
      </c>
      <c r="M3087" s="3" t="s">
        <v>1856</v>
      </c>
      <c r="N3087" s="3" t="s">
        <v>24</v>
      </c>
      <c r="O3087" s="3" t="s">
        <v>25</v>
      </c>
    </row>
    <row r="3088" spans="1:15">
      <c r="A3088" s="3" t="s">
        <v>15</v>
      </c>
      <c r="B3088" s="3" t="str">
        <f>"FES1162743260"</f>
        <v>FES1162743260</v>
      </c>
      <c r="C3088" s="3" t="s">
        <v>2154</v>
      </c>
      <c r="D3088" s="3">
        <v>1</v>
      </c>
      <c r="E3088" s="3" t="str">
        <f>"2170734111"</f>
        <v>2170734111</v>
      </c>
      <c r="F3088" s="3" t="s">
        <v>17</v>
      </c>
      <c r="G3088" s="3" t="s">
        <v>18</v>
      </c>
      <c r="H3088" s="3" t="s">
        <v>46</v>
      </c>
      <c r="I3088" s="3" t="s">
        <v>47</v>
      </c>
      <c r="J3088" s="3" t="s">
        <v>390</v>
      </c>
      <c r="K3088" s="3" t="s">
        <v>2210</v>
      </c>
      <c r="L3088" s="4">
        <v>0.42708333333333331</v>
      </c>
      <c r="M3088" s="3" t="s">
        <v>1856</v>
      </c>
      <c r="N3088" s="3" t="s">
        <v>24</v>
      </c>
      <c r="O3088" s="3" t="s">
        <v>25</v>
      </c>
    </row>
    <row r="3089" spans="1:15">
      <c r="A3089" s="3" t="s">
        <v>15</v>
      </c>
      <c r="B3089" s="3" t="str">
        <f>"FES1162743245"</f>
        <v>FES1162743245</v>
      </c>
      <c r="C3089" s="3" t="s">
        <v>2154</v>
      </c>
      <c r="D3089" s="3">
        <v>1</v>
      </c>
      <c r="E3089" s="3" t="str">
        <f>"2170732030"</f>
        <v>2170732030</v>
      </c>
      <c r="F3089" s="3" t="s">
        <v>17</v>
      </c>
      <c r="G3089" s="3" t="s">
        <v>18</v>
      </c>
      <c r="H3089" s="3" t="s">
        <v>36</v>
      </c>
      <c r="I3089" s="3" t="s">
        <v>37</v>
      </c>
      <c r="J3089" s="3" t="s">
        <v>187</v>
      </c>
      <c r="K3089" s="3" t="s">
        <v>2210</v>
      </c>
      <c r="L3089" s="4">
        <v>0.35416666666666669</v>
      </c>
      <c r="M3089" s="3" t="s">
        <v>820</v>
      </c>
      <c r="N3089" s="3" t="s">
        <v>24</v>
      </c>
      <c r="O3089" s="3" t="s">
        <v>25</v>
      </c>
    </row>
    <row r="3090" spans="1:15">
      <c r="A3090" s="3" t="s">
        <v>15</v>
      </c>
      <c r="B3090" s="3" t="str">
        <f>"FES1162743307"</f>
        <v>FES1162743307</v>
      </c>
      <c r="C3090" s="3" t="s">
        <v>2154</v>
      </c>
      <c r="D3090" s="3">
        <v>1</v>
      </c>
      <c r="E3090" s="3" t="str">
        <f>"2170734728"</f>
        <v>2170734728</v>
      </c>
      <c r="F3090" s="3" t="s">
        <v>17</v>
      </c>
      <c r="G3090" s="3" t="s">
        <v>18</v>
      </c>
      <c r="H3090" s="3" t="s">
        <v>36</v>
      </c>
      <c r="I3090" s="3" t="s">
        <v>330</v>
      </c>
      <c r="J3090" s="3" t="s">
        <v>331</v>
      </c>
      <c r="K3090" s="3" t="s">
        <v>2210</v>
      </c>
      <c r="L3090" s="4">
        <v>0.4152777777777778</v>
      </c>
      <c r="M3090" s="3" t="s">
        <v>332</v>
      </c>
      <c r="N3090" s="3" t="s">
        <v>24</v>
      </c>
      <c r="O3090" s="3" t="s">
        <v>25</v>
      </c>
    </row>
    <row r="3091" spans="1:15">
      <c r="A3091" s="3" t="s">
        <v>15</v>
      </c>
      <c r="B3091" s="3" t="str">
        <f>"FES1162743266"</f>
        <v>FES1162743266</v>
      </c>
      <c r="C3091" s="3" t="s">
        <v>2154</v>
      </c>
      <c r="D3091" s="3">
        <v>1</v>
      </c>
      <c r="E3091" s="3" t="str">
        <f>"2170734520"</f>
        <v>2170734520</v>
      </c>
      <c r="F3091" s="3" t="s">
        <v>17</v>
      </c>
      <c r="G3091" s="3" t="s">
        <v>18</v>
      </c>
      <c r="H3091" s="3" t="s">
        <v>46</v>
      </c>
      <c r="I3091" s="3" t="s">
        <v>47</v>
      </c>
      <c r="J3091" s="3" t="s">
        <v>390</v>
      </c>
      <c r="K3091" s="3" t="s">
        <v>2210</v>
      </c>
      <c r="L3091" s="4">
        <v>0.43333333333333335</v>
      </c>
      <c r="M3091" s="3" t="s">
        <v>1856</v>
      </c>
      <c r="N3091" s="3" t="s">
        <v>24</v>
      </c>
      <c r="O3091" s="3" t="s">
        <v>25</v>
      </c>
    </row>
    <row r="3092" spans="1:15">
      <c r="A3092" s="3" t="s">
        <v>15</v>
      </c>
      <c r="B3092" s="3" t="str">
        <f>"FES1162743270"</f>
        <v>FES1162743270</v>
      </c>
      <c r="C3092" s="3" t="s">
        <v>2154</v>
      </c>
      <c r="D3092" s="3">
        <v>1</v>
      </c>
      <c r="E3092" s="3" t="str">
        <f>"2170734685"</f>
        <v>2170734685</v>
      </c>
      <c r="F3092" s="3" t="s">
        <v>17</v>
      </c>
      <c r="G3092" s="3" t="s">
        <v>18</v>
      </c>
      <c r="H3092" s="3" t="s">
        <v>66</v>
      </c>
      <c r="I3092" s="3" t="s">
        <v>67</v>
      </c>
      <c r="J3092" s="3" t="s">
        <v>278</v>
      </c>
      <c r="K3092" s="3" t="s">
        <v>2210</v>
      </c>
      <c r="L3092" s="4">
        <v>0.375</v>
      </c>
      <c r="M3092" s="3" t="s">
        <v>442</v>
      </c>
      <c r="N3092" s="3" t="s">
        <v>24</v>
      </c>
      <c r="O3092" s="3" t="s">
        <v>25</v>
      </c>
    </row>
    <row r="3093" spans="1:15">
      <c r="A3093" s="3" t="s">
        <v>15</v>
      </c>
      <c r="B3093" s="3" t="str">
        <f>"FES1162743314"</f>
        <v>FES1162743314</v>
      </c>
      <c r="C3093" s="3" t="s">
        <v>2154</v>
      </c>
      <c r="D3093" s="3">
        <v>1</v>
      </c>
      <c r="E3093" s="3" t="str">
        <f>"2170734736"</f>
        <v>2170734736</v>
      </c>
      <c r="F3093" s="3" t="s">
        <v>17</v>
      </c>
      <c r="G3093" s="3" t="s">
        <v>18</v>
      </c>
      <c r="H3093" s="3" t="s">
        <v>36</v>
      </c>
      <c r="I3093" s="3" t="s">
        <v>37</v>
      </c>
      <c r="J3093" s="3" t="s">
        <v>585</v>
      </c>
      <c r="K3093" s="3" t="s">
        <v>2210</v>
      </c>
      <c r="L3093" s="4">
        <v>0.43194444444444446</v>
      </c>
      <c r="M3093" s="3" t="s">
        <v>1678</v>
      </c>
      <c r="N3093" s="3" t="s">
        <v>24</v>
      </c>
      <c r="O3093" s="3" t="s">
        <v>25</v>
      </c>
    </row>
    <row r="3094" spans="1:15">
      <c r="A3094" s="3" t="s">
        <v>15</v>
      </c>
      <c r="B3094" s="3" t="str">
        <f>"FES1162743315"</f>
        <v>FES1162743315</v>
      </c>
      <c r="C3094" s="3" t="s">
        <v>2154</v>
      </c>
      <c r="D3094" s="3">
        <v>1</v>
      </c>
      <c r="E3094" s="3" t="str">
        <f>"2170734737"</f>
        <v>2170734737</v>
      </c>
      <c r="F3094" s="3" t="s">
        <v>17</v>
      </c>
      <c r="G3094" s="3" t="s">
        <v>18</v>
      </c>
      <c r="H3094" s="3" t="s">
        <v>36</v>
      </c>
      <c r="I3094" s="3" t="s">
        <v>37</v>
      </c>
      <c r="J3094" s="3" t="s">
        <v>902</v>
      </c>
      <c r="K3094" s="3" t="s">
        <v>2210</v>
      </c>
      <c r="L3094" s="4">
        <v>0.42222222222222222</v>
      </c>
      <c r="M3094" s="3" t="s">
        <v>1248</v>
      </c>
      <c r="N3094" s="3" t="s">
        <v>24</v>
      </c>
      <c r="O3094" s="3" t="s">
        <v>25</v>
      </c>
    </row>
    <row r="3095" spans="1:15">
      <c r="A3095" s="3" t="s">
        <v>15</v>
      </c>
      <c r="B3095" s="3" t="str">
        <f>"FES1162743274"</f>
        <v>FES1162743274</v>
      </c>
      <c r="C3095" s="3" t="s">
        <v>2154</v>
      </c>
      <c r="D3095" s="3">
        <v>1</v>
      </c>
      <c r="E3095" s="3" t="str">
        <f>"2170734689"</f>
        <v>2170734689</v>
      </c>
      <c r="F3095" s="3" t="s">
        <v>17</v>
      </c>
      <c r="G3095" s="3" t="s">
        <v>18</v>
      </c>
      <c r="H3095" s="3" t="s">
        <v>100</v>
      </c>
      <c r="I3095" s="3" t="s">
        <v>101</v>
      </c>
      <c r="J3095" s="3" t="s">
        <v>142</v>
      </c>
      <c r="K3095" s="3" t="s">
        <v>2210</v>
      </c>
      <c r="L3095" s="4">
        <v>0.33611111111111108</v>
      </c>
      <c r="M3095" s="3" t="s">
        <v>2219</v>
      </c>
      <c r="N3095" s="3" t="s">
        <v>24</v>
      </c>
      <c r="O3095" s="3" t="s">
        <v>25</v>
      </c>
    </row>
    <row r="3096" spans="1:15">
      <c r="A3096" s="3" t="s">
        <v>15</v>
      </c>
      <c r="B3096" s="3" t="str">
        <f>"FES1162743265"</f>
        <v>FES1162743265</v>
      </c>
      <c r="C3096" s="3" t="s">
        <v>2154</v>
      </c>
      <c r="D3096" s="3">
        <v>1</v>
      </c>
      <c r="E3096" s="3" t="str">
        <f>"2170734459"</f>
        <v>2170734459</v>
      </c>
      <c r="F3096" s="3" t="s">
        <v>17</v>
      </c>
      <c r="G3096" s="3" t="s">
        <v>18</v>
      </c>
      <c r="H3096" s="3" t="s">
        <v>100</v>
      </c>
      <c r="I3096" s="3" t="s">
        <v>262</v>
      </c>
      <c r="J3096" s="3" t="s">
        <v>409</v>
      </c>
      <c r="K3096" s="3" t="s">
        <v>2210</v>
      </c>
      <c r="L3096" s="4">
        <v>0.33611111111111108</v>
      </c>
      <c r="M3096" s="3" t="s">
        <v>2231</v>
      </c>
      <c r="N3096" s="3" t="s">
        <v>24</v>
      </c>
      <c r="O3096" s="3" t="s">
        <v>25</v>
      </c>
    </row>
    <row r="3097" spans="1:15">
      <c r="A3097" s="3" t="s">
        <v>15</v>
      </c>
      <c r="B3097" s="3" t="str">
        <f>"FES1162743264"</f>
        <v>FES1162743264</v>
      </c>
      <c r="C3097" s="3" t="s">
        <v>2154</v>
      </c>
      <c r="D3097" s="3">
        <v>1</v>
      </c>
      <c r="E3097" s="3" t="str">
        <f>"2170734336"</f>
        <v>2170734336</v>
      </c>
      <c r="F3097" s="3" t="s">
        <v>17</v>
      </c>
      <c r="G3097" s="3" t="s">
        <v>18</v>
      </c>
      <c r="H3097" s="3" t="s">
        <v>100</v>
      </c>
      <c r="I3097" s="3" t="s">
        <v>101</v>
      </c>
      <c r="J3097" s="3" t="s">
        <v>921</v>
      </c>
      <c r="K3097" s="3" t="s">
        <v>2210</v>
      </c>
      <c r="L3097" s="4">
        <v>0.33611111111111108</v>
      </c>
      <c r="M3097" s="3" t="s">
        <v>2232</v>
      </c>
      <c r="N3097" s="3" t="s">
        <v>24</v>
      </c>
      <c r="O3097" s="3" t="s">
        <v>25</v>
      </c>
    </row>
    <row r="3098" spans="1:15">
      <c r="A3098" s="3" t="s">
        <v>15</v>
      </c>
      <c r="B3098" s="3" t="str">
        <f>"FES1162743251"</f>
        <v>FES1162743251</v>
      </c>
      <c r="C3098" s="3" t="s">
        <v>2154</v>
      </c>
      <c r="D3098" s="3">
        <v>1</v>
      </c>
      <c r="E3098" s="3" t="str">
        <f>"2170733245"</f>
        <v>2170733245</v>
      </c>
      <c r="F3098" s="3" t="s">
        <v>17</v>
      </c>
      <c r="G3098" s="3" t="s">
        <v>18</v>
      </c>
      <c r="H3098" s="3" t="s">
        <v>100</v>
      </c>
      <c r="I3098" s="3" t="s">
        <v>101</v>
      </c>
      <c r="J3098" s="3" t="s">
        <v>127</v>
      </c>
      <c r="K3098" s="3" t="s">
        <v>2210</v>
      </c>
      <c r="L3098" s="4">
        <v>0.41666666666666669</v>
      </c>
      <c r="M3098" s="3" t="s">
        <v>1465</v>
      </c>
      <c r="N3098" s="3" t="s">
        <v>24</v>
      </c>
      <c r="O3098" s="3" t="s">
        <v>25</v>
      </c>
    </row>
    <row r="3099" spans="1:15">
      <c r="A3099" s="3" t="s">
        <v>15</v>
      </c>
      <c r="B3099" s="3" t="str">
        <f>"FES1162743261"</f>
        <v>FES1162743261</v>
      </c>
      <c r="C3099" s="3" t="s">
        <v>2154</v>
      </c>
      <c r="D3099" s="3">
        <v>1</v>
      </c>
      <c r="E3099" s="3" t="str">
        <f>"2170734245"</f>
        <v>2170734245</v>
      </c>
      <c r="F3099" s="3" t="s">
        <v>17</v>
      </c>
      <c r="G3099" s="3" t="s">
        <v>18</v>
      </c>
      <c r="H3099" s="3" t="s">
        <v>100</v>
      </c>
      <c r="I3099" s="3" t="s">
        <v>101</v>
      </c>
      <c r="J3099" s="3" t="s">
        <v>2233</v>
      </c>
      <c r="K3099" s="3" t="s">
        <v>2210</v>
      </c>
      <c r="L3099" s="4">
        <v>0.35000000000000003</v>
      </c>
      <c r="M3099" s="3" t="s">
        <v>2234</v>
      </c>
      <c r="N3099" s="3" t="s">
        <v>24</v>
      </c>
      <c r="O3099" s="3" t="s">
        <v>25</v>
      </c>
    </row>
    <row r="3100" spans="1:15">
      <c r="A3100" s="3" t="s">
        <v>15</v>
      </c>
      <c r="B3100" s="3" t="str">
        <f>"FES1162743294"</f>
        <v>FES1162743294</v>
      </c>
      <c r="C3100" s="3" t="s">
        <v>2154</v>
      </c>
      <c r="D3100" s="3">
        <v>1</v>
      </c>
      <c r="E3100" s="3" t="str">
        <f>"2170734710"</f>
        <v>2170734710</v>
      </c>
      <c r="F3100" s="3" t="s">
        <v>17</v>
      </c>
      <c r="G3100" s="3" t="s">
        <v>18</v>
      </c>
      <c r="H3100" s="3" t="s">
        <v>537</v>
      </c>
      <c r="I3100" s="3" t="s">
        <v>538</v>
      </c>
      <c r="J3100" s="3" t="s">
        <v>1106</v>
      </c>
      <c r="K3100" s="3" t="s">
        <v>2210</v>
      </c>
      <c r="L3100" s="4">
        <v>0.42569444444444443</v>
      </c>
      <c r="M3100" s="3" t="s">
        <v>1568</v>
      </c>
      <c r="N3100" s="3" t="s">
        <v>24</v>
      </c>
      <c r="O3100" s="3" t="s">
        <v>25</v>
      </c>
    </row>
    <row r="3101" spans="1:15">
      <c r="A3101" s="3" t="s">
        <v>15</v>
      </c>
      <c r="B3101" s="3" t="str">
        <f>"FES1162743067"</f>
        <v>FES1162743067</v>
      </c>
      <c r="C3101" s="3" t="s">
        <v>2154</v>
      </c>
      <c r="D3101" s="3">
        <v>1</v>
      </c>
      <c r="E3101" s="3" t="str">
        <f>"2170734434"</f>
        <v>2170734434</v>
      </c>
      <c r="F3101" s="3" t="s">
        <v>17</v>
      </c>
      <c r="G3101" s="3" t="s">
        <v>18</v>
      </c>
      <c r="H3101" s="3" t="s">
        <v>18</v>
      </c>
      <c r="I3101" s="3" t="s">
        <v>341</v>
      </c>
      <c r="J3101" s="3" t="s">
        <v>278</v>
      </c>
      <c r="K3101" s="3" t="s">
        <v>2210</v>
      </c>
      <c r="L3101" s="4">
        <v>0.41319444444444442</v>
      </c>
      <c r="M3101" s="3" t="s">
        <v>2235</v>
      </c>
      <c r="N3101" s="3" t="s">
        <v>24</v>
      </c>
      <c r="O3101" s="3" t="s">
        <v>25</v>
      </c>
    </row>
    <row r="3102" spans="1:15">
      <c r="A3102" s="3" t="s">
        <v>15</v>
      </c>
      <c r="B3102" s="3" t="str">
        <f>"FES1162743269"</f>
        <v>FES1162743269</v>
      </c>
      <c r="C3102" s="3" t="s">
        <v>2154</v>
      </c>
      <c r="D3102" s="3">
        <v>1</v>
      </c>
      <c r="E3102" s="3" t="str">
        <f>"2170734684"</f>
        <v>2170734684</v>
      </c>
      <c r="F3102" s="3" t="s">
        <v>17</v>
      </c>
      <c r="G3102" s="3" t="s">
        <v>18</v>
      </c>
      <c r="H3102" s="3" t="s">
        <v>100</v>
      </c>
      <c r="I3102" s="3" t="s">
        <v>101</v>
      </c>
      <c r="J3102" s="3" t="s">
        <v>2236</v>
      </c>
      <c r="K3102" s="3" t="s">
        <v>2210</v>
      </c>
      <c r="L3102" s="4">
        <v>0.29444444444444445</v>
      </c>
      <c r="M3102" s="3" t="s">
        <v>2237</v>
      </c>
      <c r="N3102" s="3" t="s">
        <v>24</v>
      </c>
      <c r="O3102" s="3" t="s">
        <v>25</v>
      </c>
    </row>
    <row r="3103" spans="1:15">
      <c r="A3103" s="3" t="s">
        <v>15</v>
      </c>
      <c r="B3103" s="3" t="str">
        <f>"FES1162743321"</f>
        <v>FES1162743321</v>
      </c>
      <c r="C3103" s="3" t="s">
        <v>2154</v>
      </c>
      <c r="D3103" s="3">
        <v>1</v>
      </c>
      <c r="E3103" s="3" t="str">
        <f>"2170734743"</f>
        <v>2170734743</v>
      </c>
      <c r="F3103" s="3" t="s">
        <v>17</v>
      </c>
      <c r="G3103" s="3" t="s">
        <v>18</v>
      </c>
      <c r="H3103" s="3" t="s">
        <v>100</v>
      </c>
      <c r="I3103" s="3" t="s">
        <v>101</v>
      </c>
      <c r="J3103" s="3" t="s">
        <v>731</v>
      </c>
      <c r="K3103" s="3" t="s">
        <v>2210</v>
      </c>
      <c r="L3103" s="4">
        <v>0.31319444444444444</v>
      </c>
      <c r="M3103" s="3" t="s">
        <v>732</v>
      </c>
      <c r="N3103" s="3" t="s">
        <v>24</v>
      </c>
      <c r="O3103" s="3" t="s">
        <v>25</v>
      </c>
    </row>
    <row r="3104" spans="1:15">
      <c r="A3104" s="3" t="s">
        <v>15</v>
      </c>
      <c r="B3104" s="3" t="str">
        <f>"FES1162743291"</f>
        <v>FES1162743291</v>
      </c>
      <c r="C3104" s="3" t="s">
        <v>2154</v>
      </c>
      <c r="D3104" s="3">
        <v>1</v>
      </c>
      <c r="E3104" s="3" t="str">
        <f>"2170734707"</f>
        <v>2170734707</v>
      </c>
      <c r="F3104" s="3" t="s">
        <v>17</v>
      </c>
      <c r="G3104" s="3" t="s">
        <v>18</v>
      </c>
      <c r="H3104" s="3" t="s">
        <v>18</v>
      </c>
      <c r="I3104" s="3" t="s">
        <v>309</v>
      </c>
      <c r="J3104" s="3" t="s">
        <v>278</v>
      </c>
      <c r="K3104" s="3" t="s">
        <v>2210</v>
      </c>
      <c r="L3104" s="4">
        <v>0.375</v>
      </c>
      <c r="M3104" s="3" t="s">
        <v>2238</v>
      </c>
      <c r="N3104" s="3" t="s">
        <v>24</v>
      </c>
      <c r="O3104" s="3" t="s">
        <v>25</v>
      </c>
    </row>
    <row r="3105" spans="1:15">
      <c r="A3105" s="3" t="s">
        <v>15</v>
      </c>
      <c r="B3105" s="3" t="str">
        <f>"FES1162743250"</f>
        <v>FES1162743250</v>
      </c>
      <c r="C3105" s="3" t="s">
        <v>2154</v>
      </c>
      <c r="D3105" s="3">
        <v>1</v>
      </c>
      <c r="E3105" s="3" t="str">
        <f>"2170733222"</f>
        <v>2170733222</v>
      </c>
      <c r="F3105" s="3" t="s">
        <v>17</v>
      </c>
      <c r="G3105" s="3" t="s">
        <v>18</v>
      </c>
      <c r="H3105" s="3" t="s">
        <v>18</v>
      </c>
      <c r="I3105" s="3" t="s">
        <v>171</v>
      </c>
      <c r="J3105" s="3" t="s">
        <v>884</v>
      </c>
      <c r="K3105" s="3" t="s">
        <v>2210</v>
      </c>
      <c r="L3105" s="4">
        <v>0.30208333333333331</v>
      </c>
      <c r="M3105" s="3" t="s">
        <v>2239</v>
      </c>
      <c r="N3105" s="3" t="s">
        <v>24</v>
      </c>
      <c r="O3105" s="3" t="s">
        <v>25</v>
      </c>
    </row>
    <row r="3106" spans="1:15">
      <c r="A3106" s="3" t="s">
        <v>15</v>
      </c>
      <c r="B3106" s="3" t="str">
        <f>"FES1162743252"</f>
        <v>FES1162743252</v>
      </c>
      <c r="C3106" s="3" t="s">
        <v>2154</v>
      </c>
      <c r="D3106" s="3">
        <v>1</v>
      </c>
      <c r="E3106" s="3" t="str">
        <f>"2170733509"</f>
        <v>2170733509</v>
      </c>
      <c r="F3106" s="3" t="s">
        <v>17</v>
      </c>
      <c r="G3106" s="3" t="s">
        <v>18</v>
      </c>
      <c r="H3106" s="3" t="s">
        <v>18</v>
      </c>
      <c r="I3106" s="3" t="s">
        <v>33</v>
      </c>
      <c r="J3106" s="3" t="s">
        <v>93</v>
      </c>
      <c r="K3106" s="3" t="s">
        <v>2210</v>
      </c>
      <c r="L3106" s="4">
        <v>0.33333333333333331</v>
      </c>
      <c r="M3106" s="3" t="s">
        <v>2240</v>
      </c>
      <c r="N3106" s="3" t="s">
        <v>24</v>
      </c>
      <c r="O3106" s="3" t="s">
        <v>25</v>
      </c>
    </row>
    <row r="3107" spans="1:15">
      <c r="A3107" s="3" t="s">
        <v>15</v>
      </c>
      <c r="B3107" s="3" t="str">
        <f>"FES1162743329"</f>
        <v>FES1162743329</v>
      </c>
      <c r="C3107" s="3" t="s">
        <v>2154</v>
      </c>
      <c r="D3107" s="3">
        <v>1</v>
      </c>
      <c r="E3107" s="3" t="str">
        <f>"2170734753"</f>
        <v>2170734753</v>
      </c>
      <c r="F3107" s="3" t="s">
        <v>17</v>
      </c>
      <c r="G3107" s="3" t="s">
        <v>18</v>
      </c>
      <c r="H3107" s="3" t="s">
        <v>18</v>
      </c>
      <c r="I3107" s="3" t="s">
        <v>29</v>
      </c>
      <c r="J3107" s="3" t="s">
        <v>307</v>
      </c>
      <c r="K3107" s="3" t="s">
        <v>2210</v>
      </c>
      <c r="L3107" s="4">
        <v>0.34791666666666665</v>
      </c>
      <c r="M3107" s="3" t="s">
        <v>308</v>
      </c>
      <c r="N3107" s="3" t="s">
        <v>24</v>
      </c>
      <c r="O3107" s="3" t="s">
        <v>25</v>
      </c>
    </row>
    <row r="3108" spans="1:15">
      <c r="A3108" s="3" t="s">
        <v>15</v>
      </c>
      <c r="B3108" s="3" t="str">
        <f>"FES1162743359"</f>
        <v>FES1162743359</v>
      </c>
      <c r="C3108" s="3" t="s">
        <v>2154</v>
      </c>
      <c r="D3108" s="3">
        <v>1</v>
      </c>
      <c r="E3108" s="3" t="str">
        <f>"2170734288"</f>
        <v>2170734288</v>
      </c>
      <c r="F3108" s="3" t="s">
        <v>17</v>
      </c>
      <c r="G3108" s="3" t="s">
        <v>18</v>
      </c>
      <c r="H3108" s="3" t="s">
        <v>36</v>
      </c>
      <c r="I3108" s="3" t="s">
        <v>37</v>
      </c>
      <c r="J3108" s="3" t="s">
        <v>585</v>
      </c>
      <c r="K3108" s="3" t="s">
        <v>2210</v>
      </c>
      <c r="L3108" s="4">
        <v>0.43194444444444446</v>
      </c>
      <c r="M3108" s="3" t="s">
        <v>1678</v>
      </c>
      <c r="N3108" s="3" t="s">
        <v>24</v>
      </c>
      <c r="O3108" s="3" t="s">
        <v>25</v>
      </c>
    </row>
    <row r="3109" spans="1:15">
      <c r="A3109" s="3" t="s">
        <v>15</v>
      </c>
      <c r="B3109" s="3" t="str">
        <f>"FES1162743286"</f>
        <v>FES1162743286</v>
      </c>
      <c r="C3109" s="3" t="s">
        <v>2154</v>
      </c>
      <c r="D3109" s="3">
        <v>1</v>
      </c>
      <c r="E3109" s="3" t="str">
        <f>"2170734703"</f>
        <v>2170734703</v>
      </c>
      <c r="F3109" s="3" t="s">
        <v>17</v>
      </c>
      <c r="G3109" s="3" t="s">
        <v>18</v>
      </c>
      <c r="H3109" s="3" t="s">
        <v>18</v>
      </c>
      <c r="I3109" s="3" t="s">
        <v>33</v>
      </c>
      <c r="J3109" s="3" t="s">
        <v>34</v>
      </c>
      <c r="K3109" s="3" t="s">
        <v>2210</v>
      </c>
      <c r="L3109" s="4">
        <v>0.42638888888888887</v>
      </c>
      <c r="M3109" s="3" t="s">
        <v>344</v>
      </c>
      <c r="N3109" s="3" t="s">
        <v>24</v>
      </c>
      <c r="O3109" s="3" t="s">
        <v>25</v>
      </c>
    </row>
    <row r="3110" spans="1:15">
      <c r="A3110" s="3" t="s">
        <v>15</v>
      </c>
      <c r="B3110" s="3" t="str">
        <f>"FES1162743338"</f>
        <v>FES1162743338</v>
      </c>
      <c r="C3110" s="3" t="s">
        <v>2154</v>
      </c>
      <c r="D3110" s="3">
        <v>1</v>
      </c>
      <c r="E3110" s="3" t="str">
        <f>"2170734771"</f>
        <v>2170734771</v>
      </c>
      <c r="F3110" s="3" t="s">
        <v>17</v>
      </c>
      <c r="G3110" s="3" t="s">
        <v>18</v>
      </c>
      <c r="H3110" s="3" t="s">
        <v>18</v>
      </c>
      <c r="I3110" s="3" t="s">
        <v>151</v>
      </c>
      <c r="J3110" s="3" t="s">
        <v>2241</v>
      </c>
      <c r="K3110" s="3" t="s">
        <v>2210</v>
      </c>
      <c r="L3110" s="4">
        <v>0.33333333333333331</v>
      </c>
      <c r="M3110" s="3" t="s">
        <v>1358</v>
      </c>
      <c r="N3110" s="3" t="s">
        <v>24</v>
      </c>
      <c r="O3110" s="3" t="s">
        <v>25</v>
      </c>
    </row>
    <row r="3111" spans="1:15">
      <c r="A3111" s="3" t="s">
        <v>15</v>
      </c>
      <c r="B3111" s="3" t="str">
        <f>"FES1162743322"</f>
        <v>FES1162743322</v>
      </c>
      <c r="C3111" s="3" t="s">
        <v>2154</v>
      </c>
      <c r="D3111" s="3">
        <v>1</v>
      </c>
      <c r="E3111" s="3" t="str">
        <f>"2170734745"</f>
        <v>2170734745</v>
      </c>
      <c r="F3111" s="3" t="s">
        <v>17</v>
      </c>
      <c r="G3111" s="3" t="s">
        <v>18</v>
      </c>
      <c r="H3111" s="3" t="s">
        <v>19</v>
      </c>
      <c r="I3111" s="3" t="s">
        <v>20</v>
      </c>
      <c r="J3111" s="3" t="s">
        <v>576</v>
      </c>
      <c r="K3111" s="3" t="s">
        <v>2210</v>
      </c>
      <c r="L3111" s="4">
        <v>0.42430555555555555</v>
      </c>
      <c r="M3111" s="3" t="s">
        <v>2242</v>
      </c>
      <c r="N3111" s="3" t="s">
        <v>24</v>
      </c>
      <c r="O3111" s="3" t="s">
        <v>25</v>
      </c>
    </row>
    <row r="3112" spans="1:15">
      <c r="A3112" s="3" t="s">
        <v>15</v>
      </c>
      <c r="B3112" s="3" t="str">
        <f>"FES1162743298"</f>
        <v>FES1162743298</v>
      </c>
      <c r="C3112" s="3" t="s">
        <v>2154</v>
      </c>
      <c r="D3112" s="3">
        <v>1</v>
      </c>
      <c r="E3112" s="3" t="str">
        <f>"2170734715"</f>
        <v>2170734715</v>
      </c>
      <c r="F3112" s="3" t="s">
        <v>17</v>
      </c>
      <c r="G3112" s="3" t="s">
        <v>18</v>
      </c>
      <c r="H3112" s="3" t="s">
        <v>19</v>
      </c>
      <c r="I3112" s="3" t="s">
        <v>20</v>
      </c>
      <c r="J3112" s="3" t="s">
        <v>21</v>
      </c>
      <c r="K3112" s="3" t="s">
        <v>2210</v>
      </c>
      <c r="L3112" s="4">
        <v>0.35416666666666669</v>
      </c>
      <c r="M3112" s="3" t="s">
        <v>23</v>
      </c>
      <c r="N3112" s="3" t="s">
        <v>24</v>
      </c>
      <c r="O3112" s="3" t="s">
        <v>25</v>
      </c>
    </row>
    <row r="3113" spans="1:15">
      <c r="A3113" s="3" t="s">
        <v>15</v>
      </c>
      <c r="B3113" s="3" t="str">
        <f>"FES1162743344"</f>
        <v>FES1162743344</v>
      </c>
      <c r="C3113" s="3" t="s">
        <v>2154</v>
      </c>
      <c r="D3113" s="3">
        <v>1</v>
      </c>
      <c r="E3113" s="3" t="str">
        <f>"2170734776"</f>
        <v>2170734776</v>
      </c>
      <c r="F3113" s="3" t="s">
        <v>17</v>
      </c>
      <c r="G3113" s="3" t="s">
        <v>18</v>
      </c>
      <c r="H3113" s="3" t="s">
        <v>18</v>
      </c>
      <c r="I3113" s="3" t="s">
        <v>29</v>
      </c>
      <c r="J3113" s="3" t="s">
        <v>618</v>
      </c>
      <c r="K3113" s="3" t="s">
        <v>2210</v>
      </c>
      <c r="L3113" s="4">
        <v>0.3298611111111111</v>
      </c>
      <c r="M3113" s="3" t="s">
        <v>619</v>
      </c>
      <c r="N3113" s="3" t="s">
        <v>24</v>
      </c>
      <c r="O3113" s="3" t="s">
        <v>25</v>
      </c>
    </row>
    <row r="3114" spans="1:15">
      <c r="A3114" s="3" t="s">
        <v>15</v>
      </c>
      <c r="B3114" s="3" t="str">
        <f>"FES1162743362"</f>
        <v>FES1162743362</v>
      </c>
      <c r="C3114" s="3" t="s">
        <v>2154</v>
      </c>
      <c r="D3114" s="3">
        <v>1</v>
      </c>
      <c r="E3114" s="3" t="str">
        <f>"2170734797"</f>
        <v>2170734797</v>
      </c>
      <c r="F3114" s="3" t="s">
        <v>17</v>
      </c>
      <c r="G3114" s="3" t="s">
        <v>18</v>
      </c>
      <c r="H3114" s="3" t="s">
        <v>100</v>
      </c>
      <c r="I3114" s="3" t="s">
        <v>101</v>
      </c>
      <c r="J3114" s="3" t="s">
        <v>554</v>
      </c>
      <c r="K3114" s="3" t="s">
        <v>2210</v>
      </c>
      <c r="L3114" s="4">
        <v>0.34930555555555554</v>
      </c>
      <c r="M3114" s="3" t="s">
        <v>2243</v>
      </c>
      <c r="N3114" s="3" t="s">
        <v>24</v>
      </c>
      <c r="O3114" s="3" t="s">
        <v>25</v>
      </c>
    </row>
    <row r="3115" spans="1:15">
      <c r="A3115" s="3" t="s">
        <v>15</v>
      </c>
      <c r="B3115" s="3" t="str">
        <f>"FES1162743361"</f>
        <v>FES1162743361</v>
      </c>
      <c r="C3115" s="3" t="s">
        <v>2154</v>
      </c>
      <c r="D3115" s="3">
        <v>1</v>
      </c>
      <c r="E3115" s="3" t="str">
        <f>"2170734794"</f>
        <v>2170734794</v>
      </c>
      <c r="F3115" s="3" t="s">
        <v>17</v>
      </c>
      <c r="G3115" s="3" t="s">
        <v>18</v>
      </c>
      <c r="H3115" s="3" t="s">
        <v>100</v>
      </c>
      <c r="I3115" s="3" t="s">
        <v>101</v>
      </c>
      <c r="J3115" s="3" t="s">
        <v>131</v>
      </c>
      <c r="K3115" s="3" t="s">
        <v>2210</v>
      </c>
      <c r="L3115" s="4">
        <v>0.35972222222222222</v>
      </c>
      <c r="M3115" s="3" t="s">
        <v>132</v>
      </c>
      <c r="N3115" s="3" t="s">
        <v>24</v>
      </c>
      <c r="O3115" s="3" t="s">
        <v>25</v>
      </c>
    </row>
    <row r="3116" spans="1:15">
      <c r="A3116" s="3" t="s">
        <v>15</v>
      </c>
      <c r="B3116" s="3" t="str">
        <f>"FES1162743369"</f>
        <v>FES1162743369</v>
      </c>
      <c r="C3116" s="3" t="s">
        <v>2154</v>
      </c>
      <c r="D3116" s="3">
        <v>1</v>
      </c>
      <c r="E3116" s="3" t="str">
        <f>"2170734806"</f>
        <v>2170734806</v>
      </c>
      <c r="F3116" s="3" t="s">
        <v>17</v>
      </c>
      <c r="G3116" s="3" t="s">
        <v>18</v>
      </c>
      <c r="H3116" s="3" t="s">
        <v>100</v>
      </c>
      <c r="I3116" s="3" t="s">
        <v>101</v>
      </c>
      <c r="J3116" s="3" t="s">
        <v>131</v>
      </c>
      <c r="K3116" s="3" t="s">
        <v>2210</v>
      </c>
      <c r="L3116" s="4">
        <v>0.35972222222222222</v>
      </c>
      <c r="M3116" s="3" t="s">
        <v>132</v>
      </c>
      <c r="N3116" s="3" t="s">
        <v>24</v>
      </c>
      <c r="O3116" s="3" t="s">
        <v>25</v>
      </c>
    </row>
    <row r="3117" spans="1:15">
      <c r="A3117" s="3" t="s">
        <v>15</v>
      </c>
      <c r="B3117" s="3" t="str">
        <f>"FES1162743354"</f>
        <v>FES1162743354</v>
      </c>
      <c r="C3117" s="3" t="s">
        <v>2154</v>
      </c>
      <c r="D3117" s="3">
        <v>1</v>
      </c>
      <c r="E3117" s="3" t="str">
        <f>"2170734789"</f>
        <v>2170734789</v>
      </c>
      <c r="F3117" s="3" t="s">
        <v>17</v>
      </c>
      <c r="G3117" s="3" t="s">
        <v>18</v>
      </c>
      <c r="H3117" s="3" t="s">
        <v>100</v>
      </c>
      <c r="I3117" s="3" t="s">
        <v>101</v>
      </c>
      <c r="J3117" s="3" t="s">
        <v>265</v>
      </c>
      <c r="K3117" s="3" t="s">
        <v>2210</v>
      </c>
      <c r="L3117" s="4">
        <v>0.31458333333333333</v>
      </c>
      <c r="M3117" s="3" t="s">
        <v>128</v>
      </c>
      <c r="N3117" s="3" t="s">
        <v>24</v>
      </c>
      <c r="O3117" s="3" t="s">
        <v>25</v>
      </c>
    </row>
    <row r="3118" spans="1:15">
      <c r="A3118" s="3" t="s">
        <v>15</v>
      </c>
      <c r="B3118" s="3" t="str">
        <f>"FES1162743364"</f>
        <v>FES1162743364</v>
      </c>
      <c r="C3118" s="3" t="s">
        <v>2154</v>
      </c>
      <c r="D3118" s="3">
        <v>1</v>
      </c>
      <c r="E3118" s="3" t="str">
        <f>"2170734800"</f>
        <v>2170734800</v>
      </c>
      <c r="F3118" s="3" t="s">
        <v>17</v>
      </c>
      <c r="G3118" s="3" t="s">
        <v>18</v>
      </c>
      <c r="H3118" s="3" t="s">
        <v>19</v>
      </c>
      <c r="I3118" s="3" t="s">
        <v>20</v>
      </c>
      <c r="J3118" s="3" t="s">
        <v>417</v>
      </c>
      <c r="K3118" s="3" t="s">
        <v>2210</v>
      </c>
      <c r="L3118" s="4">
        <v>0.4236111111111111</v>
      </c>
      <c r="M3118" s="3" t="s">
        <v>2244</v>
      </c>
      <c r="N3118" s="3" t="s">
        <v>24</v>
      </c>
      <c r="O3118" s="3" t="s">
        <v>25</v>
      </c>
    </row>
    <row r="3119" spans="1:15">
      <c r="A3119" s="3" t="s">
        <v>15</v>
      </c>
      <c r="B3119" s="3" t="str">
        <f>"FES1162743345"</f>
        <v>FES1162743345</v>
      </c>
      <c r="C3119" s="3" t="s">
        <v>2154</v>
      </c>
      <c r="D3119" s="3">
        <v>1</v>
      </c>
      <c r="E3119" s="3" t="str">
        <f>"2170734779"</f>
        <v>2170734779</v>
      </c>
      <c r="F3119" s="3" t="s">
        <v>17</v>
      </c>
      <c r="G3119" s="3" t="s">
        <v>18</v>
      </c>
      <c r="H3119" s="3" t="s">
        <v>70</v>
      </c>
      <c r="I3119" s="3" t="s">
        <v>71</v>
      </c>
      <c r="J3119" s="3" t="s">
        <v>392</v>
      </c>
      <c r="K3119" s="3" t="s">
        <v>2210</v>
      </c>
      <c r="L3119" s="4">
        <v>0.51944444444444449</v>
      </c>
      <c r="M3119" s="3" t="s">
        <v>885</v>
      </c>
      <c r="N3119" s="3" t="s">
        <v>24</v>
      </c>
      <c r="O3119" s="3" t="s">
        <v>25</v>
      </c>
    </row>
    <row r="3120" spans="1:15">
      <c r="A3120" s="3" t="s">
        <v>15</v>
      </c>
      <c r="B3120" s="3" t="str">
        <f>"FES1162743348"</f>
        <v>FES1162743348</v>
      </c>
      <c r="C3120" s="3" t="s">
        <v>2154</v>
      </c>
      <c r="D3120" s="3">
        <v>1</v>
      </c>
      <c r="E3120" s="3" t="str">
        <f>"2170734783"</f>
        <v>2170734783</v>
      </c>
      <c r="F3120" s="3" t="s">
        <v>17</v>
      </c>
      <c r="G3120" s="3" t="s">
        <v>18</v>
      </c>
      <c r="H3120" s="3" t="s">
        <v>100</v>
      </c>
      <c r="I3120" s="3" t="s">
        <v>101</v>
      </c>
      <c r="J3120" s="3" t="s">
        <v>127</v>
      </c>
      <c r="K3120" s="3" t="s">
        <v>2210</v>
      </c>
      <c r="L3120" s="4">
        <v>0.41666666666666669</v>
      </c>
      <c r="M3120" s="3" t="s">
        <v>1465</v>
      </c>
      <c r="N3120" s="3" t="s">
        <v>24</v>
      </c>
      <c r="O3120" s="3" t="s">
        <v>25</v>
      </c>
    </row>
    <row r="3121" spans="1:15">
      <c r="A3121" s="3" t="s">
        <v>15</v>
      </c>
      <c r="B3121" s="3" t="str">
        <f>"FES1162743340"</f>
        <v>FES1162743340</v>
      </c>
      <c r="C3121" s="3" t="s">
        <v>2154</v>
      </c>
      <c r="D3121" s="3">
        <v>1</v>
      </c>
      <c r="E3121" s="3" t="str">
        <f>"2170734773"</f>
        <v>2170734773</v>
      </c>
      <c r="F3121" s="3" t="s">
        <v>17</v>
      </c>
      <c r="G3121" s="3" t="s">
        <v>18</v>
      </c>
      <c r="H3121" s="3" t="s">
        <v>18</v>
      </c>
      <c r="I3121" s="3" t="s">
        <v>309</v>
      </c>
      <c r="J3121" s="3" t="s">
        <v>882</v>
      </c>
      <c r="K3121" s="3" t="s">
        <v>2210</v>
      </c>
      <c r="L3121" s="4">
        <v>0.33333333333333331</v>
      </c>
      <c r="M3121" s="3" t="s">
        <v>1615</v>
      </c>
      <c r="N3121" s="3" t="s">
        <v>24</v>
      </c>
      <c r="O3121" s="3" t="s">
        <v>25</v>
      </c>
    </row>
    <row r="3122" spans="1:15">
      <c r="A3122" s="3" t="s">
        <v>15</v>
      </c>
      <c r="B3122" s="3" t="str">
        <f>"FES1162743319"</f>
        <v>FES1162743319</v>
      </c>
      <c r="C3122" s="3" t="s">
        <v>2154</v>
      </c>
      <c r="D3122" s="3">
        <v>1</v>
      </c>
      <c r="E3122" s="3" t="str">
        <f>"2170734741"</f>
        <v>2170734741</v>
      </c>
      <c r="F3122" s="3" t="s">
        <v>17</v>
      </c>
      <c r="G3122" s="3" t="s">
        <v>18</v>
      </c>
      <c r="H3122" s="3" t="s">
        <v>537</v>
      </c>
      <c r="I3122" s="3" t="s">
        <v>538</v>
      </c>
      <c r="J3122" s="3" t="s">
        <v>1106</v>
      </c>
      <c r="K3122" s="3" t="s">
        <v>2210</v>
      </c>
      <c r="L3122" s="4">
        <v>0.42569444444444443</v>
      </c>
      <c r="M3122" s="3" t="s">
        <v>1568</v>
      </c>
      <c r="N3122" s="3" t="s">
        <v>24</v>
      </c>
      <c r="O3122" s="3" t="s">
        <v>25</v>
      </c>
    </row>
    <row r="3123" spans="1:15">
      <c r="A3123" s="3" t="s">
        <v>15</v>
      </c>
      <c r="B3123" s="3" t="str">
        <f>"FES1162743301"</f>
        <v>FES1162743301</v>
      </c>
      <c r="C3123" s="3" t="s">
        <v>2154</v>
      </c>
      <c r="D3123" s="3">
        <v>1</v>
      </c>
      <c r="E3123" s="3" t="str">
        <f>"2170734720"</f>
        <v>2170734720</v>
      </c>
      <c r="F3123" s="3" t="s">
        <v>17</v>
      </c>
      <c r="G3123" s="3" t="s">
        <v>18</v>
      </c>
      <c r="H3123" s="3" t="s">
        <v>19</v>
      </c>
      <c r="I3123" s="3" t="s">
        <v>20</v>
      </c>
      <c r="J3123" s="3" t="s">
        <v>21</v>
      </c>
      <c r="K3123" s="3" t="s">
        <v>2210</v>
      </c>
      <c r="L3123" s="4">
        <v>0.35486111111111113</v>
      </c>
      <c r="M3123" s="3" t="s">
        <v>23</v>
      </c>
      <c r="N3123" s="3" t="s">
        <v>24</v>
      </c>
      <c r="O3123" s="3" t="s">
        <v>25</v>
      </c>
    </row>
    <row r="3124" spans="1:15">
      <c r="A3124" s="3" t="s">
        <v>15</v>
      </c>
      <c r="B3124" s="3" t="str">
        <f>"FES1162743356"</f>
        <v>FES1162743356</v>
      </c>
      <c r="C3124" s="3" t="s">
        <v>2154</v>
      </c>
      <c r="D3124" s="3">
        <v>1</v>
      </c>
      <c r="E3124" s="3" t="str">
        <f>"2170734791"</f>
        <v>2170734791</v>
      </c>
      <c r="F3124" s="3" t="s">
        <v>17</v>
      </c>
      <c r="G3124" s="3" t="s">
        <v>18</v>
      </c>
      <c r="H3124" s="3" t="s">
        <v>36</v>
      </c>
      <c r="I3124" s="3" t="s">
        <v>330</v>
      </c>
      <c r="J3124" s="3" t="s">
        <v>331</v>
      </c>
      <c r="K3124" s="3" t="s">
        <v>2210</v>
      </c>
      <c r="L3124" s="4">
        <v>0.4152777777777778</v>
      </c>
      <c r="M3124" s="3" t="s">
        <v>332</v>
      </c>
      <c r="N3124" s="3" t="s">
        <v>24</v>
      </c>
      <c r="O3124" s="3" t="s">
        <v>25</v>
      </c>
    </row>
    <row r="3125" spans="1:15">
      <c r="A3125" s="3" t="s">
        <v>15</v>
      </c>
      <c r="B3125" s="3" t="str">
        <f>"FES1162743335"</f>
        <v>FES1162743335</v>
      </c>
      <c r="C3125" s="3" t="s">
        <v>2154</v>
      </c>
      <c r="D3125" s="3">
        <v>1</v>
      </c>
      <c r="E3125" s="3" t="str">
        <f>"2170734765"</f>
        <v>2170734765</v>
      </c>
      <c r="F3125" s="3" t="s">
        <v>17</v>
      </c>
      <c r="G3125" s="3" t="s">
        <v>18</v>
      </c>
      <c r="H3125" s="3" t="s">
        <v>18</v>
      </c>
      <c r="I3125" s="3" t="s">
        <v>171</v>
      </c>
      <c r="J3125" s="3" t="s">
        <v>2245</v>
      </c>
      <c r="K3125" s="3" t="s">
        <v>2210</v>
      </c>
      <c r="L3125" s="4">
        <v>0.4375</v>
      </c>
      <c r="M3125" s="3" t="s">
        <v>2246</v>
      </c>
      <c r="N3125" s="3" t="s">
        <v>24</v>
      </c>
      <c r="O3125" s="3" t="s">
        <v>25</v>
      </c>
    </row>
    <row r="3126" spans="1:15">
      <c r="A3126" s="3" t="s">
        <v>15</v>
      </c>
      <c r="B3126" s="3" t="str">
        <f>"FES1162743317"</f>
        <v>FES1162743317</v>
      </c>
      <c r="C3126" s="3" t="s">
        <v>2154</v>
      </c>
      <c r="D3126" s="3">
        <v>1</v>
      </c>
      <c r="E3126" s="3" t="str">
        <f>"2170734739"</f>
        <v>2170734739</v>
      </c>
      <c r="F3126" s="3" t="s">
        <v>17</v>
      </c>
      <c r="G3126" s="3" t="s">
        <v>18</v>
      </c>
      <c r="H3126" s="3" t="s">
        <v>70</v>
      </c>
      <c r="I3126" s="3" t="s">
        <v>71</v>
      </c>
      <c r="J3126" s="3" t="s">
        <v>671</v>
      </c>
      <c r="K3126" s="3" t="s">
        <v>2210</v>
      </c>
      <c r="L3126" s="4">
        <v>0.38819444444444445</v>
      </c>
      <c r="M3126" s="3" t="s">
        <v>929</v>
      </c>
      <c r="N3126" s="3" t="s">
        <v>24</v>
      </c>
      <c r="O3126" s="3" t="s">
        <v>25</v>
      </c>
    </row>
    <row r="3127" spans="1:15">
      <c r="A3127" s="3" t="s">
        <v>15</v>
      </c>
      <c r="B3127" s="3" t="str">
        <f>"FES1162743347"</f>
        <v>FES1162743347</v>
      </c>
      <c r="C3127" s="3" t="s">
        <v>2154</v>
      </c>
      <c r="D3127" s="3">
        <v>1</v>
      </c>
      <c r="E3127" s="3" t="str">
        <f>"2170734782"</f>
        <v>2170734782</v>
      </c>
      <c r="F3127" s="3" t="s">
        <v>17</v>
      </c>
      <c r="G3127" s="3" t="s">
        <v>18</v>
      </c>
      <c r="H3127" s="3" t="s">
        <v>100</v>
      </c>
      <c r="I3127" s="3" t="s">
        <v>101</v>
      </c>
      <c r="J3127" s="3" t="s">
        <v>653</v>
      </c>
      <c r="K3127" s="3" t="s">
        <v>2210</v>
      </c>
      <c r="L3127" s="4">
        <v>0.37916666666666665</v>
      </c>
      <c r="M3127" s="3" t="s">
        <v>654</v>
      </c>
      <c r="N3127" s="3" t="s">
        <v>24</v>
      </c>
      <c r="O3127" s="3" t="s">
        <v>25</v>
      </c>
    </row>
    <row r="3128" spans="1:15">
      <c r="A3128" s="3" t="s">
        <v>15</v>
      </c>
      <c r="B3128" s="3" t="str">
        <f>"FES1162743316"</f>
        <v>FES1162743316</v>
      </c>
      <c r="C3128" s="3" t="s">
        <v>2154</v>
      </c>
      <c r="D3128" s="3">
        <v>1</v>
      </c>
      <c r="E3128" s="3" t="str">
        <f>"2170734738"</f>
        <v>2170734738</v>
      </c>
      <c r="F3128" s="3" t="s">
        <v>17</v>
      </c>
      <c r="G3128" s="3" t="s">
        <v>18</v>
      </c>
      <c r="H3128" s="3" t="s">
        <v>19</v>
      </c>
      <c r="I3128" s="3" t="s">
        <v>20</v>
      </c>
      <c r="J3128" s="3" t="s">
        <v>21</v>
      </c>
      <c r="K3128" s="3" t="s">
        <v>2210</v>
      </c>
      <c r="L3128" s="4">
        <v>0.3527777777777778</v>
      </c>
      <c r="M3128" s="3" t="s">
        <v>200</v>
      </c>
      <c r="N3128" s="3" t="s">
        <v>24</v>
      </c>
      <c r="O3128" s="3" t="s">
        <v>25</v>
      </c>
    </row>
    <row r="3129" spans="1:15">
      <c r="A3129" s="3" t="s">
        <v>15</v>
      </c>
      <c r="B3129" s="3" t="str">
        <f>"FES1162743310"</f>
        <v>FES1162743310</v>
      </c>
      <c r="C3129" s="3" t="s">
        <v>2154</v>
      </c>
      <c r="D3129" s="3">
        <v>1</v>
      </c>
      <c r="E3129" s="3" t="str">
        <f>"2170734733"</f>
        <v>2170734733</v>
      </c>
      <c r="F3129" s="3" t="s">
        <v>17</v>
      </c>
      <c r="G3129" s="3" t="s">
        <v>18</v>
      </c>
      <c r="H3129" s="3" t="s">
        <v>70</v>
      </c>
      <c r="I3129" s="3" t="s">
        <v>755</v>
      </c>
      <c r="J3129" s="3" t="s">
        <v>756</v>
      </c>
      <c r="K3129" s="3" t="s">
        <v>2210</v>
      </c>
      <c r="L3129" s="4">
        <v>0.57638888888888895</v>
      </c>
      <c r="M3129" s="3" t="s">
        <v>2247</v>
      </c>
      <c r="N3129" s="3" t="s">
        <v>24</v>
      </c>
      <c r="O3129" s="3" t="s">
        <v>25</v>
      </c>
    </row>
    <row r="3130" spans="1:15">
      <c r="A3130" s="3" t="s">
        <v>15</v>
      </c>
      <c r="B3130" s="3" t="str">
        <f>"FES1162743325"</f>
        <v>FES1162743325</v>
      </c>
      <c r="C3130" s="3" t="s">
        <v>2154</v>
      </c>
      <c r="D3130" s="3">
        <v>1</v>
      </c>
      <c r="E3130" s="3" t="str">
        <f>"2170734749"</f>
        <v>2170734749</v>
      </c>
      <c r="F3130" s="3" t="s">
        <v>17</v>
      </c>
      <c r="G3130" s="3" t="s">
        <v>18</v>
      </c>
      <c r="H3130" s="3" t="s">
        <v>18</v>
      </c>
      <c r="I3130" s="3" t="s">
        <v>29</v>
      </c>
      <c r="J3130" s="3" t="s">
        <v>307</v>
      </c>
      <c r="K3130" s="3" t="s">
        <v>2210</v>
      </c>
      <c r="L3130" s="4">
        <v>0.3527777777777778</v>
      </c>
      <c r="M3130" s="3" t="s">
        <v>2248</v>
      </c>
      <c r="N3130" s="3" t="s">
        <v>24</v>
      </c>
      <c r="O3130" s="3" t="s">
        <v>25</v>
      </c>
    </row>
    <row r="3131" spans="1:15">
      <c r="A3131" s="3" t="s">
        <v>15</v>
      </c>
      <c r="B3131" s="3" t="str">
        <f>"FES1162743346"</f>
        <v>FES1162743346</v>
      </c>
      <c r="C3131" s="3" t="s">
        <v>2154</v>
      </c>
      <c r="D3131" s="3">
        <v>1</v>
      </c>
      <c r="E3131" s="3" t="str">
        <f>"2170734781"</f>
        <v>2170734781</v>
      </c>
      <c r="F3131" s="3" t="s">
        <v>17</v>
      </c>
      <c r="G3131" s="3" t="s">
        <v>18</v>
      </c>
      <c r="H3131" s="3" t="s">
        <v>70</v>
      </c>
      <c r="I3131" s="3" t="s">
        <v>71</v>
      </c>
      <c r="J3131" s="3" t="s">
        <v>459</v>
      </c>
      <c r="K3131" s="3" t="s">
        <v>2210</v>
      </c>
      <c r="L3131" s="4">
        <v>0.4375</v>
      </c>
      <c r="M3131" s="3" t="s">
        <v>460</v>
      </c>
      <c r="N3131" s="3" t="s">
        <v>24</v>
      </c>
      <c r="O3131" s="3" t="s">
        <v>25</v>
      </c>
    </row>
    <row r="3132" spans="1:15">
      <c r="A3132" s="3" t="s">
        <v>15</v>
      </c>
      <c r="B3132" s="3" t="str">
        <f>"FES1162743296"</f>
        <v>FES1162743296</v>
      </c>
      <c r="C3132" s="3" t="s">
        <v>2154</v>
      </c>
      <c r="D3132" s="3">
        <v>1</v>
      </c>
      <c r="E3132" s="3" t="str">
        <f>"2170734712"</f>
        <v>2170734712</v>
      </c>
      <c r="F3132" s="3" t="s">
        <v>17</v>
      </c>
      <c r="G3132" s="3" t="s">
        <v>18</v>
      </c>
      <c r="H3132" s="3" t="s">
        <v>18</v>
      </c>
      <c r="I3132" s="3" t="s">
        <v>29</v>
      </c>
      <c r="J3132" s="3" t="s">
        <v>307</v>
      </c>
      <c r="K3132" s="3" t="s">
        <v>2210</v>
      </c>
      <c r="L3132" s="4">
        <v>0.34722222222222227</v>
      </c>
      <c r="M3132" s="3" t="s">
        <v>308</v>
      </c>
      <c r="N3132" s="3" t="s">
        <v>24</v>
      </c>
      <c r="O3132" s="3" t="s">
        <v>25</v>
      </c>
    </row>
    <row r="3133" spans="1:15">
      <c r="A3133" s="3" t="s">
        <v>15</v>
      </c>
      <c r="B3133" s="3" t="str">
        <f>"FES1162743339"</f>
        <v>FES1162743339</v>
      </c>
      <c r="C3133" s="3" t="s">
        <v>2154</v>
      </c>
      <c r="D3133" s="3">
        <v>1</v>
      </c>
      <c r="E3133" s="3" t="str">
        <f>"2170734772"</f>
        <v>2170734772</v>
      </c>
      <c r="F3133" s="3" t="s">
        <v>17</v>
      </c>
      <c r="G3133" s="3" t="s">
        <v>18</v>
      </c>
      <c r="H3133" s="3" t="s">
        <v>19</v>
      </c>
      <c r="I3133" s="3" t="s">
        <v>20</v>
      </c>
      <c r="J3133" s="3" t="s">
        <v>1141</v>
      </c>
      <c r="K3133" s="3" t="s">
        <v>2210</v>
      </c>
      <c r="L3133" s="4">
        <v>0.37291666666666662</v>
      </c>
      <c r="M3133" s="3" t="s">
        <v>1888</v>
      </c>
      <c r="N3133" s="3" t="s">
        <v>24</v>
      </c>
      <c r="O3133" s="3" t="s">
        <v>25</v>
      </c>
    </row>
    <row r="3134" spans="1:15">
      <c r="A3134" s="3" t="s">
        <v>15</v>
      </c>
      <c r="B3134" s="3" t="str">
        <f>"FES1162743331"</f>
        <v>FES1162743331</v>
      </c>
      <c r="C3134" s="3" t="s">
        <v>2154</v>
      </c>
      <c r="D3134" s="3">
        <v>1</v>
      </c>
      <c r="E3134" s="3" t="str">
        <f>"2170734755"</f>
        <v>2170734755</v>
      </c>
      <c r="F3134" s="3" t="s">
        <v>17</v>
      </c>
      <c r="G3134" s="3" t="s">
        <v>18</v>
      </c>
      <c r="H3134" s="3" t="s">
        <v>18</v>
      </c>
      <c r="I3134" s="3" t="s">
        <v>29</v>
      </c>
      <c r="J3134" s="3" t="s">
        <v>307</v>
      </c>
      <c r="K3134" s="3" t="s">
        <v>2210</v>
      </c>
      <c r="L3134" s="4">
        <v>0.3527777777777778</v>
      </c>
      <c r="M3134" s="3" t="s">
        <v>2248</v>
      </c>
      <c r="N3134" s="3" t="s">
        <v>24</v>
      </c>
      <c r="O3134" s="3" t="s">
        <v>25</v>
      </c>
    </row>
    <row r="3135" spans="1:15">
      <c r="A3135" s="3" t="s">
        <v>15</v>
      </c>
      <c r="B3135" s="3" t="str">
        <f>"FES1162743353"</f>
        <v>FES1162743353</v>
      </c>
      <c r="C3135" s="3" t="s">
        <v>2154</v>
      </c>
      <c r="D3135" s="3">
        <v>1</v>
      </c>
      <c r="E3135" s="3" t="str">
        <f>"217073788"</f>
        <v>217073788</v>
      </c>
      <c r="F3135" s="3" t="s">
        <v>17</v>
      </c>
      <c r="G3135" s="3" t="s">
        <v>18</v>
      </c>
      <c r="H3135" s="3" t="s">
        <v>19</v>
      </c>
      <c r="I3135" s="3" t="s">
        <v>20</v>
      </c>
      <c r="J3135" s="3" t="s">
        <v>417</v>
      </c>
      <c r="K3135" s="3" t="s">
        <v>2210</v>
      </c>
      <c r="L3135" s="4">
        <v>0.4236111111111111</v>
      </c>
      <c r="M3135" s="3" t="s">
        <v>2244</v>
      </c>
      <c r="N3135" s="3" t="s">
        <v>24</v>
      </c>
      <c r="O3135" s="3" t="s">
        <v>25</v>
      </c>
    </row>
    <row r="3136" spans="1:15">
      <c r="A3136" s="3" t="s">
        <v>15</v>
      </c>
      <c r="B3136" s="3" t="str">
        <f>"FES1162743393"</f>
        <v>FES1162743393</v>
      </c>
      <c r="C3136" s="3" t="s">
        <v>2154</v>
      </c>
      <c r="D3136" s="3">
        <v>1</v>
      </c>
      <c r="E3136" s="3" t="str">
        <f>"2170734829"</f>
        <v>2170734829</v>
      </c>
      <c r="F3136" s="3" t="s">
        <v>17</v>
      </c>
      <c r="G3136" s="3" t="s">
        <v>18</v>
      </c>
      <c r="H3136" s="3" t="s">
        <v>18</v>
      </c>
      <c r="I3136" s="3" t="s">
        <v>151</v>
      </c>
      <c r="J3136" s="3" t="s">
        <v>2214</v>
      </c>
      <c r="K3136" s="3" t="s">
        <v>2210</v>
      </c>
      <c r="L3136" s="4">
        <v>0.42777777777777781</v>
      </c>
      <c r="M3136" s="3" t="s">
        <v>2215</v>
      </c>
      <c r="N3136" s="3" t="s">
        <v>24</v>
      </c>
      <c r="O3136" s="3" t="s">
        <v>25</v>
      </c>
    </row>
    <row r="3137" spans="1:15">
      <c r="A3137" s="3" t="s">
        <v>15</v>
      </c>
      <c r="B3137" s="3" t="str">
        <f>"RFES1162742832"</f>
        <v>RFES1162742832</v>
      </c>
      <c r="C3137" s="3" t="s">
        <v>2154</v>
      </c>
      <c r="D3137" s="3">
        <v>1</v>
      </c>
      <c r="E3137" s="3" t="str">
        <f>"2170734223"</f>
        <v>2170734223</v>
      </c>
      <c r="F3137" s="3" t="s">
        <v>17</v>
      </c>
      <c r="G3137" s="3" t="s">
        <v>19</v>
      </c>
      <c r="H3137" s="3" t="s">
        <v>18</v>
      </c>
      <c r="I3137" s="3" t="s">
        <v>29</v>
      </c>
      <c r="J3137" s="3" t="s">
        <v>30</v>
      </c>
      <c r="K3137" s="3" t="s">
        <v>2210</v>
      </c>
      <c r="L3137" s="4">
        <v>0.37291666666666662</v>
      </c>
      <c r="M3137" s="3" t="s">
        <v>31</v>
      </c>
      <c r="N3137" s="3" t="s">
        <v>24</v>
      </c>
      <c r="O3137" s="3" t="s">
        <v>25</v>
      </c>
    </row>
    <row r="3138" spans="1:15">
      <c r="A3138" s="3" t="s">
        <v>15</v>
      </c>
      <c r="B3138" s="3" t="str">
        <f>"FES1162743308"</f>
        <v>FES1162743308</v>
      </c>
      <c r="C3138" s="3" t="s">
        <v>2154</v>
      </c>
      <c r="D3138" s="3">
        <v>1</v>
      </c>
      <c r="E3138" s="3" t="str">
        <f>"2170734730"</f>
        <v>2170734730</v>
      </c>
      <c r="F3138" s="3" t="s">
        <v>17</v>
      </c>
      <c r="G3138" s="3" t="s">
        <v>18</v>
      </c>
      <c r="H3138" s="3" t="s">
        <v>18</v>
      </c>
      <c r="I3138" s="3" t="s">
        <v>525</v>
      </c>
      <c r="J3138" s="3" t="s">
        <v>2249</v>
      </c>
      <c r="K3138" s="3" t="s">
        <v>2210</v>
      </c>
      <c r="L3138" s="4">
        <v>0.39305555555555555</v>
      </c>
      <c r="M3138" s="3" t="s">
        <v>1365</v>
      </c>
      <c r="N3138" s="3" t="s">
        <v>24</v>
      </c>
      <c r="O3138" s="3" t="s">
        <v>25</v>
      </c>
    </row>
    <row r="3139" spans="1:15">
      <c r="A3139" s="3" t="s">
        <v>15</v>
      </c>
      <c r="B3139" s="3" t="str">
        <f>"FES1162743384"</f>
        <v>FES1162743384</v>
      </c>
      <c r="C3139" s="3" t="s">
        <v>2154</v>
      </c>
      <c r="D3139" s="3">
        <v>1</v>
      </c>
      <c r="E3139" s="3" t="str">
        <f>"2170734819"</f>
        <v>2170734819</v>
      </c>
      <c r="F3139" s="3" t="s">
        <v>17</v>
      </c>
      <c r="G3139" s="3" t="s">
        <v>18</v>
      </c>
      <c r="H3139" s="3" t="s">
        <v>100</v>
      </c>
      <c r="I3139" s="3" t="s">
        <v>101</v>
      </c>
      <c r="J3139" s="3" t="s">
        <v>137</v>
      </c>
      <c r="K3139" s="3" t="s">
        <v>2210</v>
      </c>
      <c r="L3139" s="4">
        <v>0.42499999999999999</v>
      </c>
      <c r="M3139" s="3" t="s">
        <v>83</v>
      </c>
      <c r="N3139" s="3" t="s">
        <v>24</v>
      </c>
      <c r="O3139" s="3" t="s">
        <v>25</v>
      </c>
    </row>
    <row r="3140" spans="1:15">
      <c r="A3140" s="3" t="s">
        <v>15</v>
      </c>
      <c r="B3140" s="3" t="str">
        <f>"FES1162743377"</f>
        <v>FES1162743377</v>
      </c>
      <c r="C3140" s="3" t="s">
        <v>2154</v>
      </c>
      <c r="D3140" s="3">
        <v>1</v>
      </c>
      <c r="E3140" s="3" t="str">
        <f>"2170731685"</f>
        <v>2170731685</v>
      </c>
      <c r="F3140" s="3" t="s">
        <v>528</v>
      </c>
      <c r="G3140" s="3" t="s">
        <v>948</v>
      </c>
      <c r="H3140" s="3" t="s">
        <v>36</v>
      </c>
      <c r="I3140" s="3" t="s">
        <v>37</v>
      </c>
      <c r="J3140" s="3" t="s">
        <v>585</v>
      </c>
      <c r="K3140" s="3" t="s">
        <v>2210</v>
      </c>
      <c r="L3140" s="4">
        <v>0.42499999999999999</v>
      </c>
      <c r="M3140" s="3" t="s">
        <v>2250</v>
      </c>
      <c r="N3140" s="3" t="s">
        <v>24</v>
      </c>
      <c r="O3140" s="3" t="s">
        <v>25</v>
      </c>
    </row>
    <row r="3141" spans="1:15">
      <c r="A3141" s="3" t="s">
        <v>15</v>
      </c>
      <c r="B3141" s="3" t="str">
        <f>"FES1162743378"</f>
        <v>FES1162743378</v>
      </c>
      <c r="C3141" s="3" t="s">
        <v>2154</v>
      </c>
      <c r="D3141" s="3">
        <v>1</v>
      </c>
      <c r="E3141" s="3" t="str">
        <f>"217073211"</f>
        <v>217073211</v>
      </c>
      <c r="F3141" s="3" t="s">
        <v>528</v>
      </c>
      <c r="G3141" s="3" t="s">
        <v>948</v>
      </c>
      <c r="H3141" s="3" t="s">
        <v>36</v>
      </c>
      <c r="I3141" s="3" t="s">
        <v>37</v>
      </c>
      <c r="J3141" s="3" t="s">
        <v>585</v>
      </c>
      <c r="K3141" s="3" t="s">
        <v>2210</v>
      </c>
      <c r="L3141" s="4">
        <v>0.42499999999999999</v>
      </c>
      <c r="M3141" s="3" t="s">
        <v>2250</v>
      </c>
      <c r="N3141" s="3" t="s">
        <v>24</v>
      </c>
      <c r="O3141" s="3" t="s">
        <v>25</v>
      </c>
    </row>
    <row r="3142" spans="1:15">
      <c r="A3142" s="3" t="s">
        <v>15</v>
      </c>
      <c r="B3142" s="3" t="str">
        <f>"FES1162743367"</f>
        <v>FES1162743367</v>
      </c>
      <c r="C3142" s="3" t="s">
        <v>2154</v>
      </c>
      <c r="D3142" s="3">
        <v>1</v>
      </c>
      <c r="E3142" s="3" t="str">
        <f>"2170734804"</f>
        <v>2170734804</v>
      </c>
      <c r="F3142" s="3" t="s">
        <v>17</v>
      </c>
      <c r="G3142" s="3" t="s">
        <v>18</v>
      </c>
      <c r="H3142" s="3" t="s">
        <v>19</v>
      </c>
      <c r="I3142" s="3" t="s">
        <v>20</v>
      </c>
      <c r="J3142" s="3" t="s">
        <v>56</v>
      </c>
      <c r="K3142" s="3" t="s">
        <v>2210</v>
      </c>
      <c r="L3142" s="4">
        <v>0.35833333333333334</v>
      </c>
      <c r="M3142" s="3" t="s">
        <v>2251</v>
      </c>
      <c r="N3142" s="3" t="s">
        <v>24</v>
      </c>
      <c r="O3142" s="3" t="s">
        <v>25</v>
      </c>
    </row>
    <row r="3143" spans="1:15">
      <c r="A3143" s="3" t="s">
        <v>15</v>
      </c>
      <c r="B3143" s="3" t="str">
        <f>"FES1162743287"</f>
        <v>FES1162743287</v>
      </c>
      <c r="C3143" s="3" t="s">
        <v>2154</v>
      </c>
      <c r="D3143" s="3">
        <v>1</v>
      </c>
      <c r="E3143" s="3" t="str">
        <f>"2170734705"</f>
        <v>2170734705</v>
      </c>
      <c r="F3143" s="3" t="s">
        <v>17</v>
      </c>
      <c r="G3143" s="3" t="s">
        <v>18</v>
      </c>
      <c r="H3143" s="3" t="s">
        <v>18</v>
      </c>
      <c r="I3143" s="3" t="s">
        <v>33</v>
      </c>
      <c r="J3143" s="3" t="s">
        <v>34</v>
      </c>
      <c r="K3143" s="3" t="s">
        <v>2210</v>
      </c>
      <c r="L3143" s="4">
        <v>0.42708333333333331</v>
      </c>
      <c r="M3143" s="3" t="s">
        <v>2252</v>
      </c>
      <c r="N3143" s="3" t="s">
        <v>24</v>
      </c>
      <c r="O3143" s="3" t="s">
        <v>25</v>
      </c>
    </row>
    <row r="3144" spans="1:15">
      <c r="A3144" s="3" t="s">
        <v>15</v>
      </c>
      <c r="B3144" s="3" t="str">
        <f>"FES1162743360"</f>
        <v>FES1162743360</v>
      </c>
      <c r="C3144" s="3" t="s">
        <v>2154</v>
      </c>
      <c r="D3144" s="3">
        <v>1</v>
      </c>
      <c r="E3144" s="3" t="str">
        <f>"2170734713"</f>
        <v>2170734713</v>
      </c>
      <c r="F3144" s="3" t="s">
        <v>17</v>
      </c>
      <c r="G3144" s="3" t="s">
        <v>18</v>
      </c>
      <c r="H3144" s="3" t="s">
        <v>66</v>
      </c>
      <c r="I3144" s="3" t="s">
        <v>67</v>
      </c>
      <c r="J3144" s="3" t="s">
        <v>278</v>
      </c>
      <c r="K3144" s="3" t="s">
        <v>2210</v>
      </c>
      <c r="L3144" s="4">
        <v>0.375</v>
      </c>
      <c r="M3144" s="3" t="s">
        <v>442</v>
      </c>
      <c r="N3144" s="3" t="s">
        <v>24</v>
      </c>
      <c r="O3144" s="3" t="s">
        <v>25</v>
      </c>
    </row>
    <row r="3145" spans="1:15">
      <c r="A3145" s="3" t="s">
        <v>15</v>
      </c>
      <c r="B3145" s="3" t="str">
        <f>"FES1162743253"</f>
        <v>FES1162743253</v>
      </c>
      <c r="C3145" s="3" t="s">
        <v>2154</v>
      </c>
      <c r="D3145" s="3">
        <v>1</v>
      </c>
      <c r="E3145" s="3" t="str">
        <f>"2170733510"</f>
        <v>2170733510</v>
      </c>
      <c r="F3145" s="3" t="s">
        <v>17</v>
      </c>
      <c r="G3145" s="3" t="s">
        <v>18</v>
      </c>
      <c r="H3145" s="3" t="s">
        <v>18</v>
      </c>
      <c r="I3145" s="3" t="s">
        <v>33</v>
      </c>
      <c r="J3145" s="3" t="s">
        <v>93</v>
      </c>
      <c r="K3145" s="3" t="s">
        <v>2210</v>
      </c>
      <c r="L3145" s="4">
        <v>0.33333333333333331</v>
      </c>
      <c r="M3145" s="3" t="s">
        <v>2240</v>
      </c>
      <c r="N3145" s="3" t="s">
        <v>24</v>
      </c>
      <c r="O3145" s="3" t="s">
        <v>25</v>
      </c>
    </row>
    <row r="3146" spans="1:15">
      <c r="A3146" s="3" t="s">
        <v>15</v>
      </c>
      <c r="B3146" s="3" t="str">
        <f>"FES1162743383"</f>
        <v>FES1162743383</v>
      </c>
      <c r="C3146" s="3" t="s">
        <v>2154</v>
      </c>
      <c r="D3146" s="3">
        <v>1</v>
      </c>
      <c r="E3146" s="3" t="str">
        <f>"2170734814"</f>
        <v>2170734814</v>
      </c>
      <c r="F3146" s="3" t="s">
        <v>17</v>
      </c>
      <c r="G3146" s="3" t="s">
        <v>18</v>
      </c>
      <c r="H3146" s="3" t="s">
        <v>18</v>
      </c>
      <c r="I3146" s="3" t="s">
        <v>180</v>
      </c>
      <c r="J3146" s="3" t="s">
        <v>405</v>
      </c>
      <c r="K3146" s="3" t="s">
        <v>2210</v>
      </c>
      <c r="L3146" s="4">
        <v>0.33333333333333331</v>
      </c>
      <c r="M3146" s="3" t="s">
        <v>406</v>
      </c>
      <c r="N3146" s="3" t="s">
        <v>24</v>
      </c>
      <c r="O3146" s="3" t="s">
        <v>25</v>
      </c>
    </row>
    <row r="3147" spans="1:15">
      <c r="A3147" s="3" t="s">
        <v>15</v>
      </c>
      <c r="B3147" s="3" t="str">
        <f>"FES1162743376"</f>
        <v>FES1162743376</v>
      </c>
      <c r="C3147" s="3" t="s">
        <v>2154</v>
      </c>
      <c r="D3147" s="3">
        <v>1</v>
      </c>
      <c r="E3147" s="3" t="str">
        <f>"2170734815"</f>
        <v>2170734815</v>
      </c>
      <c r="F3147" s="3" t="s">
        <v>17</v>
      </c>
      <c r="G3147" s="3" t="s">
        <v>18</v>
      </c>
      <c r="H3147" s="3" t="s">
        <v>100</v>
      </c>
      <c r="I3147" s="3" t="s">
        <v>117</v>
      </c>
      <c r="J3147" s="3" t="s">
        <v>118</v>
      </c>
      <c r="K3147" s="3" t="s">
        <v>2210</v>
      </c>
      <c r="L3147" s="4">
        <v>0.51180555555555551</v>
      </c>
      <c r="M3147" s="3" t="s">
        <v>2253</v>
      </c>
      <c r="N3147" s="3" t="s">
        <v>24</v>
      </c>
      <c r="O3147" s="3" t="s">
        <v>25</v>
      </c>
    </row>
    <row r="3148" spans="1:15">
      <c r="A3148" s="3" t="s">
        <v>15</v>
      </c>
      <c r="B3148" s="3" t="str">
        <f>"FES1162743385"</f>
        <v>FES1162743385</v>
      </c>
      <c r="C3148" s="3" t="s">
        <v>2154</v>
      </c>
      <c r="D3148" s="3">
        <v>1</v>
      </c>
      <c r="E3148" s="3" t="str">
        <f>"2170734821"</f>
        <v>2170734821</v>
      </c>
      <c r="F3148" s="3" t="s">
        <v>17</v>
      </c>
      <c r="G3148" s="3" t="s">
        <v>18</v>
      </c>
      <c r="H3148" s="3" t="s">
        <v>36</v>
      </c>
      <c r="I3148" s="3" t="s">
        <v>37</v>
      </c>
      <c r="J3148" s="3" t="s">
        <v>54</v>
      </c>
      <c r="K3148" s="3" t="s">
        <v>2210</v>
      </c>
      <c r="L3148" s="4">
        <v>0.4145833333333333</v>
      </c>
      <c r="M3148" s="3" t="s">
        <v>55</v>
      </c>
      <c r="N3148" s="3" t="s">
        <v>24</v>
      </c>
      <c r="O3148" s="3" t="s">
        <v>25</v>
      </c>
    </row>
    <row r="3149" spans="1:15">
      <c r="A3149" s="3" t="s">
        <v>15</v>
      </c>
      <c r="B3149" s="3" t="str">
        <f>"FES1162743390"</f>
        <v>FES1162743390</v>
      </c>
      <c r="C3149" s="3" t="s">
        <v>2154</v>
      </c>
      <c r="D3149" s="3">
        <v>1</v>
      </c>
      <c r="E3149" s="3" t="str">
        <f>"2170734825"</f>
        <v>2170734825</v>
      </c>
      <c r="F3149" s="3" t="s">
        <v>17</v>
      </c>
      <c r="G3149" s="3" t="s">
        <v>18</v>
      </c>
      <c r="H3149" s="3" t="s">
        <v>36</v>
      </c>
      <c r="I3149" s="3" t="s">
        <v>37</v>
      </c>
      <c r="J3149" s="3" t="s">
        <v>505</v>
      </c>
      <c r="K3149" s="3" t="s">
        <v>2210</v>
      </c>
      <c r="L3149" s="4">
        <v>0.42291666666666666</v>
      </c>
      <c r="M3149" s="3" t="s">
        <v>2254</v>
      </c>
      <c r="N3149" s="3" t="s">
        <v>24</v>
      </c>
      <c r="O3149" s="3" t="s">
        <v>25</v>
      </c>
    </row>
    <row r="3150" spans="1:15">
      <c r="A3150" s="3" t="s">
        <v>15</v>
      </c>
      <c r="B3150" s="3" t="str">
        <f>"FES1162743238"</f>
        <v>FES1162743238</v>
      </c>
      <c r="C3150" s="3" t="s">
        <v>2154</v>
      </c>
      <c r="D3150" s="3">
        <v>1</v>
      </c>
      <c r="E3150" s="3" t="str">
        <f>"2170734634"</f>
        <v>2170734634</v>
      </c>
      <c r="F3150" s="3" t="s">
        <v>17</v>
      </c>
      <c r="G3150" s="3" t="s">
        <v>18</v>
      </c>
      <c r="H3150" s="3" t="s">
        <v>1518</v>
      </c>
      <c r="I3150" s="3" t="s">
        <v>1519</v>
      </c>
      <c r="J3150" s="3" t="s">
        <v>1520</v>
      </c>
      <c r="K3150" s="3" t="s">
        <v>2210</v>
      </c>
      <c r="L3150" s="4">
        <v>0.41666666666666669</v>
      </c>
      <c r="M3150" s="3" t="s">
        <v>2255</v>
      </c>
      <c r="N3150" s="3" t="s">
        <v>24</v>
      </c>
      <c r="O3150" s="3" t="s">
        <v>25</v>
      </c>
    </row>
    <row r="3151" spans="1:15">
      <c r="A3151" s="3" t="s">
        <v>15</v>
      </c>
      <c r="B3151" s="3" t="str">
        <f>"FES1162743283"</f>
        <v>FES1162743283</v>
      </c>
      <c r="C3151" s="3" t="s">
        <v>2154</v>
      </c>
      <c r="D3151" s="3">
        <v>1</v>
      </c>
      <c r="E3151" s="3" t="str">
        <f>"217070734680"</f>
        <v>217070734680</v>
      </c>
      <c r="F3151" s="3" t="s">
        <v>17</v>
      </c>
      <c r="G3151" s="3" t="s">
        <v>18</v>
      </c>
      <c r="H3151" s="3" t="s">
        <v>18</v>
      </c>
      <c r="I3151" s="3" t="s">
        <v>291</v>
      </c>
      <c r="J3151" s="3" t="s">
        <v>797</v>
      </c>
      <c r="K3151" s="3" t="s">
        <v>2210</v>
      </c>
      <c r="L3151" s="4">
        <v>0.33333333333333331</v>
      </c>
      <c r="M3151" s="3" t="s">
        <v>2256</v>
      </c>
      <c r="N3151" s="3" t="s">
        <v>24</v>
      </c>
      <c r="O3151" s="3" t="s">
        <v>25</v>
      </c>
    </row>
    <row r="3152" spans="1:15">
      <c r="A3152" s="3" t="s">
        <v>15</v>
      </c>
      <c r="B3152" s="3" t="str">
        <f>"FES1162743257"</f>
        <v>FES1162743257</v>
      </c>
      <c r="C3152" s="3" t="s">
        <v>2154</v>
      </c>
      <c r="D3152" s="3">
        <v>1</v>
      </c>
      <c r="E3152" s="3" t="str">
        <f>"21707332826"</f>
        <v>21707332826</v>
      </c>
      <c r="F3152" s="3" t="s">
        <v>17</v>
      </c>
      <c r="G3152" s="3" t="s">
        <v>18</v>
      </c>
      <c r="H3152" s="3" t="s">
        <v>18</v>
      </c>
      <c r="I3152" s="3" t="s">
        <v>291</v>
      </c>
      <c r="J3152" s="3" t="s">
        <v>797</v>
      </c>
      <c r="K3152" s="3" t="s">
        <v>2210</v>
      </c>
      <c r="L3152" s="4">
        <v>0.33333333333333331</v>
      </c>
      <c r="M3152" s="3" t="s">
        <v>2256</v>
      </c>
      <c r="N3152" s="3" t="s">
        <v>24</v>
      </c>
      <c r="O3152" s="3" t="s">
        <v>25</v>
      </c>
    </row>
    <row r="3153" spans="1:15">
      <c r="A3153" s="3" t="s">
        <v>15</v>
      </c>
      <c r="B3153" s="3" t="str">
        <f>"FES1162743374"</f>
        <v>FES1162743374</v>
      </c>
      <c r="C3153" s="3" t="s">
        <v>2154</v>
      </c>
      <c r="D3153" s="3">
        <v>1</v>
      </c>
      <c r="E3153" s="3" t="str">
        <f>"2170734810"</f>
        <v>2170734810</v>
      </c>
      <c r="F3153" s="3" t="s">
        <v>17</v>
      </c>
      <c r="G3153" s="3" t="s">
        <v>18</v>
      </c>
      <c r="H3153" s="3" t="s">
        <v>100</v>
      </c>
      <c r="I3153" s="3" t="s">
        <v>101</v>
      </c>
      <c r="J3153" s="3" t="s">
        <v>137</v>
      </c>
      <c r="K3153" s="3" t="s">
        <v>2210</v>
      </c>
      <c r="L3153" s="4">
        <v>0.42569444444444443</v>
      </c>
      <c r="M3153" s="3" t="s">
        <v>83</v>
      </c>
      <c r="N3153" s="3" t="s">
        <v>24</v>
      </c>
      <c r="O3153" s="3" t="s">
        <v>25</v>
      </c>
    </row>
    <row r="3154" spans="1:15">
      <c r="A3154" s="3" t="s">
        <v>15</v>
      </c>
      <c r="B3154" s="3" t="str">
        <f>"FES1162743388"</f>
        <v>FES1162743388</v>
      </c>
      <c r="C3154" s="3" t="s">
        <v>2154</v>
      </c>
      <c r="D3154" s="3">
        <v>1</v>
      </c>
      <c r="E3154" s="3" t="str">
        <f>"2170734823"</f>
        <v>2170734823</v>
      </c>
      <c r="F3154" s="3" t="s">
        <v>17</v>
      </c>
      <c r="G3154" s="3" t="s">
        <v>18</v>
      </c>
      <c r="H3154" s="3" t="s">
        <v>66</v>
      </c>
      <c r="I3154" s="3" t="s">
        <v>67</v>
      </c>
      <c r="J3154" s="3" t="s">
        <v>927</v>
      </c>
      <c r="K3154" s="3" t="s">
        <v>2210</v>
      </c>
      <c r="L3154" s="4">
        <v>0.36805555555555558</v>
      </c>
      <c r="M3154" s="3" t="s">
        <v>2015</v>
      </c>
      <c r="N3154" s="3" t="s">
        <v>24</v>
      </c>
      <c r="O3154" s="3" t="s">
        <v>25</v>
      </c>
    </row>
    <row r="3155" spans="1:15">
      <c r="A3155" s="3" t="s">
        <v>15</v>
      </c>
      <c r="B3155" s="3" t="str">
        <f>"FES1162743350"</f>
        <v>FES1162743350</v>
      </c>
      <c r="C3155" s="3" t="s">
        <v>2154</v>
      </c>
      <c r="D3155" s="3">
        <v>1</v>
      </c>
      <c r="E3155" s="3" t="str">
        <f>"2170733959"</f>
        <v>2170733959</v>
      </c>
      <c r="F3155" s="3" t="s">
        <v>17</v>
      </c>
      <c r="G3155" s="3" t="s">
        <v>18</v>
      </c>
      <c r="H3155" s="3" t="s">
        <v>100</v>
      </c>
      <c r="I3155" s="3" t="s">
        <v>101</v>
      </c>
      <c r="J3155" s="3" t="s">
        <v>125</v>
      </c>
      <c r="K3155" s="3" t="s">
        <v>2210</v>
      </c>
      <c r="L3155" s="4">
        <v>0.29097222222222224</v>
      </c>
      <c r="M3155" s="3" t="s">
        <v>272</v>
      </c>
      <c r="N3155" s="3" t="s">
        <v>24</v>
      </c>
      <c r="O3155" s="3" t="s">
        <v>25</v>
      </c>
    </row>
    <row r="3156" spans="1:15">
      <c r="A3156" s="3" t="s">
        <v>15</v>
      </c>
      <c r="B3156" s="3" t="str">
        <f>"FES1162743363"</f>
        <v>FES1162743363</v>
      </c>
      <c r="C3156" s="3" t="s">
        <v>2154</v>
      </c>
      <c r="D3156" s="3">
        <v>1</v>
      </c>
      <c r="E3156" s="3" t="str">
        <f>"2170734799"</f>
        <v>2170734799</v>
      </c>
      <c r="F3156" s="3" t="s">
        <v>17</v>
      </c>
      <c r="G3156" s="3" t="s">
        <v>18</v>
      </c>
      <c r="H3156" s="3" t="s">
        <v>66</v>
      </c>
      <c r="I3156" s="3" t="s">
        <v>67</v>
      </c>
      <c r="J3156" s="3" t="s">
        <v>325</v>
      </c>
      <c r="K3156" s="3" t="s">
        <v>2210</v>
      </c>
      <c r="L3156" s="4">
        <v>0.33333333333333331</v>
      </c>
      <c r="M3156" s="3" t="s">
        <v>2257</v>
      </c>
      <c r="N3156" s="3" t="s">
        <v>24</v>
      </c>
      <c r="O3156" s="3" t="s">
        <v>25</v>
      </c>
    </row>
    <row r="3157" spans="1:15">
      <c r="A3157" s="3" t="s">
        <v>15</v>
      </c>
      <c r="B3157" s="3" t="str">
        <f>"FES1162743395"</f>
        <v>FES1162743395</v>
      </c>
      <c r="C3157" s="3" t="s">
        <v>2154</v>
      </c>
      <c r="D3157" s="3">
        <v>1</v>
      </c>
      <c r="E3157" s="3" t="str">
        <f>"2170734833"</f>
        <v>2170734833</v>
      </c>
      <c r="F3157" s="3" t="s">
        <v>17</v>
      </c>
      <c r="G3157" s="3" t="s">
        <v>18</v>
      </c>
      <c r="H3157" s="3" t="s">
        <v>534</v>
      </c>
      <c r="I3157" s="3" t="s">
        <v>596</v>
      </c>
      <c r="J3157" s="3" t="s">
        <v>597</v>
      </c>
      <c r="K3157" s="3" t="s">
        <v>2210</v>
      </c>
      <c r="L3157" s="4">
        <v>0.39583333333333331</v>
      </c>
      <c r="M3157" s="3" t="s">
        <v>2258</v>
      </c>
      <c r="N3157" s="3" t="s">
        <v>24</v>
      </c>
      <c r="O3157" s="3" t="s">
        <v>25</v>
      </c>
    </row>
    <row r="3158" spans="1:15">
      <c r="A3158" s="3" t="s">
        <v>15</v>
      </c>
      <c r="B3158" s="3" t="str">
        <f>"FES1162743392"</f>
        <v>FES1162743392</v>
      </c>
      <c r="C3158" s="3" t="s">
        <v>2154</v>
      </c>
      <c r="D3158" s="3">
        <v>1</v>
      </c>
      <c r="E3158" s="3" t="str">
        <f>"2170734828"</f>
        <v>2170734828</v>
      </c>
      <c r="F3158" s="3" t="s">
        <v>17</v>
      </c>
      <c r="G3158" s="3" t="s">
        <v>18</v>
      </c>
      <c r="H3158" s="3" t="s">
        <v>19</v>
      </c>
      <c r="I3158" s="3" t="s">
        <v>20</v>
      </c>
      <c r="J3158" s="3" t="s">
        <v>1360</v>
      </c>
      <c r="K3158" s="3" t="s">
        <v>2210</v>
      </c>
      <c r="L3158" s="4">
        <v>0.33055555555555555</v>
      </c>
      <c r="M3158" s="3" t="s">
        <v>1361</v>
      </c>
      <c r="N3158" s="3" t="s">
        <v>24</v>
      </c>
      <c r="O3158" s="3" t="s">
        <v>25</v>
      </c>
    </row>
    <row r="3159" spans="1:15">
      <c r="A3159" s="3" t="s">
        <v>15</v>
      </c>
      <c r="B3159" s="3" t="str">
        <f>"FES1162743404"</f>
        <v>FES1162743404</v>
      </c>
      <c r="C3159" s="3" t="s">
        <v>2154</v>
      </c>
      <c r="D3159" s="3">
        <v>1</v>
      </c>
      <c r="E3159" s="3" t="str">
        <f>"2170734841"</f>
        <v>2170734841</v>
      </c>
      <c r="F3159" s="3" t="s">
        <v>17</v>
      </c>
      <c r="G3159" s="3" t="s">
        <v>18</v>
      </c>
      <c r="H3159" s="3" t="s">
        <v>19</v>
      </c>
      <c r="I3159" s="3" t="s">
        <v>20</v>
      </c>
      <c r="J3159" s="3" t="s">
        <v>21</v>
      </c>
      <c r="K3159" s="3" t="s">
        <v>2210</v>
      </c>
      <c r="L3159" s="4">
        <v>0.35486111111111113</v>
      </c>
      <c r="M3159" s="3" t="s">
        <v>200</v>
      </c>
      <c r="N3159" s="3" t="s">
        <v>24</v>
      </c>
      <c r="O3159" s="3" t="s">
        <v>25</v>
      </c>
    </row>
    <row r="3160" spans="1:15">
      <c r="A3160" s="3" t="s">
        <v>15</v>
      </c>
      <c r="B3160" s="3" t="str">
        <f>"FES1162743396"</f>
        <v>FES1162743396</v>
      </c>
      <c r="C3160" s="3" t="s">
        <v>2154</v>
      </c>
      <c r="D3160" s="3">
        <v>1</v>
      </c>
      <c r="E3160" s="3" t="str">
        <f>"2170734834"</f>
        <v>2170734834</v>
      </c>
      <c r="F3160" s="3" t="s">
        <v>17</v>
      </c>
      <c r="G3160" s="3" t="s">
        <v>18</v>
      </c>
      <c r="H3160" s="3" t="s">
        <v>70</v>
      </c>
      <c r="I3160" s="3" t="s">
        <v>71</v>
      </c>
      <c r="J3160" s="3" t="s">
        <v>252</v>
      </c>
      <c r="K3160" s="3" t="s">
        <v>2210</v>
      </c>
      <c r="L3160" s="4">
        <v>0.34722222222222227</v>
      </c>
      <c r="M3160" s="3" t="s">
        <v>2259</v>
      </c>
      <c r="N3160" s="3" t="s">
        <v>24</v>
      </c>
      <c r="O3160" s="3" t="s">
        <v>25</v>
      </c>
    </row>
    <row r="3161" spans="1:15">
      <c r="A3161" s="3" t="s">
        <v>15</v>
      </c>
      <c r="B3161" s="3" t="str">
        <f>"FES1162743300"</f>
        <v>FES1162743300</v>
      </c>
      <c r="C3161" s="3" t="s">
        <v>2154</v>
      </c>
      <c r="D3161" s="3">
        <v>1</v>
      </c>
      <c r="E3161" s="3" t="str">
        <f>"2170734719"</f>
        <v>2170734719</v>
      </c>
      <c r="F3161" s="3" t="s">
        <v>17</v>
      </c>
      <c r="G3161" s="3" t="s">
        <v>18</v>
      </c>
      <c r="H3161" s="3" t="s">
        <v>18</v>
      </c>
      <c r="I3161" s="3" t="s">
        <v>33</v>
      </c>
      <c r="J3161" s="3" t="s">
        <v>971</v>
      </c>
      <c r="K3161" s="3" t="s">
        <v>2210</v>
      </c>
      <c r="L3161" s="4">
        <v>0.39583333333333331</v>
      </c>
      <c r="M3161" s="3" t="s">
        <v>2260</v>
      </c>
      <c r="N3161" s="3" t="s">
        <v>24</v>
      </c>
      <c r="O3161" s="3" t="s">
        <v>25</v>
      </c>
    </row>
    <row r="3162" spans="1:15">
      <c r="A3162" s="3" t="s">
        <v>15</v>
      </c>
      <c r="B3162" s="3" t="str">
        <f>"FES1162743258"</f>
        <v>FES1162743258</v>
      </c>
      <c r="C3162" s="3" t="s">
        <v>2154</v>
      </c>
      <c r="D3162" s="3">
        <v>1</v>
      </c>
      <c r="E3162" s="3" t="str">
        <f>"2170733827"</f>
        <v>2170733827</v>
      </c>
      <c r="F3162" s="3" t="s">
        <v>17</v>
      </c>
      <c r="G3162" s="3" t="s">
        <v>18</v>
      </c>
      <c r="H3162" s="3" t="s">
        <v>18</v>
      </c>
      <c r="I3162" s="3" t="s">
        <v>341</v>
      </c>
      <c r="J3162" s="3" t="s">
        <v>342</v>
      </c>
      <c r="K3162" s="3" t="s">
        <v>2210</v>
      </c>
      <c r="L3162" s="4">
        <v>0.40833333333333338</v>
      </c>
      <c r="M3162" s="3" t="s">
        <v>343</v>
      </c>
      <c r="N3162" s="3" t="s">
        <v>24</v>
      </c>
      <c r="O3162" s="3" t="s">
        <v>25</v>
      </c>
    </row>
    <row r="3163" spans="1:15">
      <c r="A3163" s="7" t="s">
        <v>15</v>
      </c>
      <c r="B3163" s="7" t="str">
        <f>"FES1162743272"</f>
        <v>FES1162743272</v>
      </c>
      <c r="C3163" s="7" t="s">
        <v>2154</v>
      </c>
      <c r="D3163" s="7">
        <v>1</v>
      </c>
      <c r="E3163" s="7" t="str">
        <f>"2170734687"</f>
        <v>2170734687</v>
      </c>
      <c r="F3163" s="7" t="s">
        <v>17</v>
      </c>
      <c r="G3163" s="7" t="s">
        <v>18</v>
      </c>
      <c r="H3163" s="7" t="s">
        <v>18</v>
      </c>
      <c r="I3163" s="7" t="s">
        <v>33</v>
      </c>
      <c r="J3163" s="7" t="s">
        <v>2206</v>
      </c>
      <c r="K3163" s="7" t="s">
        <v>447</v>
      </c>
      <c r="L3163" s="7"/>
      <c r="M3163" s="7"/>
      <c r="N3163" s="7" t="s">
        <v>2261</v>
      </c>
      <c r="O3163" s="7" t="s">
        <v>2261</v>
      </c>
    </row>
    <row r="3164" spans="1:15">
      <c r="A3164" s="3" t="s">
        <v>15</v>
      </c>
      <c r="B3164" s="3" t="str">
        <f>"FES1162743326"</f>
        <v>FES1162743326</v>
      </c>
      <c r="C3164" s="3" t="s">
        <v>2154</v>
      </c>
      <c r="D3164" s="3">
        <v>1</v>
      </c>
      <c r="E3164" s="3" t="str">
        <f>"2170734750"</f>
        <v>2170734750</v>
      </c>
      <c r="F3164" s="3" t="s">
        <v>17</v>
      </c>
      <c r="G3164" s="3" t="s">
        <v>18</v>
      </c>
      <c r="H3164" s="3" t="s">
        <v>18</v>
      </c>
      <c r="I3164" s="3" t="s">
        <v>29</v>
      </c>
      <c r="J3164" s="3" t="s">
        <v>2262</v>
      </c>
      <c r="K3164" s="3" t="s">
        <v>2210</v>
      </c>
      <c r="L3164" s="4">
        <v>0.35416666666666669</v>
      </c>
      <c r="M3164" s="3" t="s">
        <v>2263</v>
      </c>
      <c r="N3164" s="3" t="s">
        <v>24</v>
      </c>
      <c r="O3164" s="3" t="s">
        <v>25</v>
      </c>
    </row>
    <row r="3165" spans="1:15">
      <c r="A3165" s="3" t="s">
        <v>15</v>
      </c>
      <c r="B3165" s="3" t="str">
        <f>"FES1162743387"</f>
        <v>FES1162743387</v>
      </c>
      <c r="C3165" s="3" t="s">
        <v>2154</v>
      </c>
      <c r="D3165" s="3">
        <v>1</v>
      </c>
      <c r="E3165" s="3" t="str">
        <f>"2170734822"</f>
        <v>2170734822</v>
      </c>
      <c r="F3165" s="3" t="s">
        <v>17</v>
      </c>
      <c r="G3165" s="3" t="s">
        <v>18</v>
      </c>
      <c r="H3165" s="3" t="s">
        <v>18</v>
      </c>
      <c r="I3165" s="3" t="s">
        <v>171</v>
      </c>
      <c r="J3165" s="3" t="s">
        <v>197</v>
      </c>
      <c r="K3165" s="3" t="s">
        <v>2210</v>
      </c>
      <c r="L3165" s="4">
        <v>0.34166666666666662</v>
      </c>
      <c r="M3165" s="3" t="s">
        <v>1261</v>
      </c>
      <c r="N3165" s="3" t="s">
        <v>24</v>
      </c>
      <c r="O3165" s="3" t="s">
        <v>25</v>
      </c>
    </row>
    <row r="3166" spans="1:15">
      <c r="A3166" s="3" t="s">
        <v>15</v>
      </c>
      <c r="B3166" s="3" t="str">
        <f>"FES1162743391"</f>
        <v>FES1162743391</v>
      </c>
      <c r="C3166" s="3" t="s">
        <v>2154</v>
      </c>
      <c r="D3166" s="3">
        <v>1</v>
      </c>
      <c r="E3166" s="3" t="str">
        <f>"2170734826"</f>
        <v>2170734826</v>
      </c>
      <c r="F3166" s="3" t="s">
        <v>17</v>
      </c>
      <c r="G3166" s="3" t="s">
        <v>18</v>
      </c>
      <c r="H3166" s="3" t="s">
        <v>18</v>
      </c>
      <c r="I3166" s="3" t="s">
        <v>171</v>
      </c>
      <c r="J3166" s="3" t="s">
        <v>197</v>
      </c>
      <c r="K3166" s="3" t="s">
        <v>2210</v>
      </c>
      <c r="L3166" s="4">
        <v>0.34166666666666662</v>
      </c>
      <c r="M3166" s="3" t="s">
        <v>1261</v>
      </c>
      <c r="N3166" s="3" t="s">
        <v>24</v>
      </c>
      <c r="O3166" s="3" t="s">
        <v>25</v>
      </c>
    </row>
    <row r="3167" spans="1:15">
      <c r="A3167" s="3" t="s">
        <v>15</v>
      </c>
      <c r="B3167" s="3" t="str">
        <f>"FES1162743323"</f>
        <v>FES1162743323</v>
      </c>
      <c r="C3167" s="3" t="s">
        <v>2154</v>
      </c>
      <c r="D3167" s="3">
        <v>1</v>
      </c>
      <c r="E3167" s="3" t="str">
        <f>"2170734746"</f>
        <v>2170734746</v>
      </c>
      <c r="F3167" s="3" t="s">
        <v>17</v>
      </c>
      <c r="G3167" s="3" t="s">
        <v>18</v>
      </c>
      <c r="H3167" s="3" t="s">
        <v>18</v>
      </c>
      <c r="I3167" s="3" t="s">
        <v>29</v>
      </c>
      <c r="J3167" s="3" t="s">
        <v>1211</v>
      </c>
      <c r="K3167" s="3" t="s">
        <v>2210</v>
      </c>
      <c r="L3167" s="4">
        <v>0.40277777777777773</v>
      </c>
      <c r="M3167" s="3" t="s">
        <v>1872</v>
      </c>
      <c r="N3167" s="3" t="s">
        <v>24</v>
      </c>
      <c r="O3167" s="3" t="s">
        <v>25</v>
      </c>
    </row>
    <row r="3168" spans="1:15">
      <c r="A3168" s="3" t="s">
        <v>15</v>
      </c>
      <c r="B3168" s="3" t="str">
        <f>"FES1162743414"</f>
        <v>FES1162743414</v>
      </c>
      <c r="C3168" s="3" t="s">
        <v>2154</v>
      </c>
      <c r="D3168" s="3">
        <v>1</v>
      </c>
      <c r="E3168" s="3" t="str">
        <f>"2170734853"</f>
        <v>2170734853</v>
      </c>
      <c r="F3168" s="3" t="s">
        <v>17</v>
      </c>
      <c r="G3168" s="3" t="s">
        <v>18</v>
      </c>
      <c r="H3168" s="3" t="s">
        <v>19</v>
      </c>
      <c r="I3168" s="3" t="s">
        <v>20</v>
      </c>
      <c r="J3168" s="3" t="s">
        <v>56</v>
      </c>
      <c r="K3168" s="3" t="s">
        <v>2210</v>
      </c>
      <c r="L3168" s="4">
        <v>0.35833333333333334</v>
      </c>
      <c r="M3168" s="3" t="s">
        <v>2264</v>
      </c>
      <c r="N3168" s="3" t="s">
        <v>24</v>
      </c>
      <c r="O3168" s="3" t="s">
        <v>25</v>
      </c>
    </row>
    <row r="3169" spans="1:15">
      <c r="A3169" s="3" t="s">
        <v>15</v>
      </c>
      <c r="B3169" s="3" t="str">
        <f>"FES1162743380"</f>
        <v>FES1162743380</v>
      </c>
      <c r="C3169" s="3" t="s">
        <v>2154</v>
      </c>
      <c r="D3169" s="3">
        <v>1</v>
      </c>
      <c r="E3169" s="3" t="str">
        <f>"2170734816"</f>
        <v>2170734816</v>
      </c>
      <c r="F3169" s="3" t="s">
        <v>17</v>
      </c>
      <c r="G3169" s="3" t="s">
        <v>18</v>
      </c>
      <c r="H3169" s="3" t="s">
        <v>70</v>
      </c>
      <c r="I3169" s="3" t="s">
        <v>71</v>
      </c>
      <c r="J3169" s="3" t="s">
        <v>248</v>
      </c>
      <c r="K3169" s="3" t="s">
        <v>2210</v>
      </c>
      <c r="L3169" s="4">
        <v>0.38819444444444445</v>
      </c>
      <c r="M3169" s="3" t="s">
        <v>929</v>
      </c>
      <c r="N3169" s="3" t="s">
        <v>24</v>
      </c>
      <c r="O3169" s="3" t="s">
        <v>25</v>
      </c>
    </row>
    <row r="3170" spans="1:15">
      <c r="A3170" s="3" t="s">
        <v>15</v>
      </c>
      <c r="B3170" s="3" t="str">
        <f>"FES1162743413"</f>
        <v>FES1162743413</v>
      </c>
      <c r="C3170" s="3" t="s">
        <v>2154</v>
      </c>
      <c r="D3170" s="3">
        <v>1</v>
      </c>
      <c r="E3170" s="3" t="str">
        <f>"2170734849"</f>
        <v>2170734849</v>
      </c>
      <c r="F3170" s="3" t="s">
        <v>17</v>
      </c>
      <c r="G3170" s="3" t="s">
        <v>18</v>
      </c>
      <c r="H3170" s="3" t="s">
        <v>19</v>
      </c>
      <c r="I3170" s="3" t="s">
        <v>20</v>
      </c>
      <c r="J3170" s="3" t="s">
        <v>56</v>
      </c>
      <c r="K3170" s="3" t="s">
        <v>2210</v>
      </c>
      <c r="L3170" s="4">
        <v>0.35833333333333334</v>
      </c>
      <c r="M3170" s="3" t="s">
        <v>2265</v>
      </c>
      <c r="N3170" s="3" t="s">
        <v>24</v>
      </c>
      <c r="O3170" s="3" t="s">
        <v>25</v>
      </c>
    </row>
    <row r="3171" spans="1:15">
      <c r="A3171" s="3" t="s">
        <v>15</v>
      </c>
      <c r="B3171" s="3" t="str">
        <f>"FES1162743423"</f>
        <v>FES1162743423</v>
      </c>
      <c r="C3171" s="3" t="s">
        <v>2154</v>
      </c>
      <c r="D3171" s="3">
        <v>1</v>
      </c>
      <c r="E3171" s="3" t="str">
        <f>"2170734860"</f>
        <v>2170734860</v>
      </c>
      <c r="F3171" s="3" t="s">
        <v>17</v>
      </c>
      <c r="G3171" s="3" t="s">
        <v>18</v>
      </c>
      <c r="H3171" s="3" t="s">
        <v>19</v>
      </c>
      <c r="I3171" s="3" t="s">
        <v>20</v>
      </c>
      <c r="J3171" s="3" t="s">
        <v>951</v>
      </c>
      <c r="K3171" s="3" t="s">
        <v>2210</v>
      </c>
      <c r="L3171" s="4">
        <v>0.32083333333333336</v>
      </c>
      <c r="M3171" s="3" t="s">
        <v>2266</v>
      </c>
      <c r="N3171" s="3" t="s">
        <v>24</v>
      </c>
      <c r="O3171" s="3" t="s">
        <v>25</v>
      </c>
    </row>
    <row r="3172" spans="1:15">
      <c r="A3172" s="3" t="s">
        <v>15</v>
      </c>
      <c r="B3172" s="3" t="str">
        <f>"FES1162743372"</f>
        <v>FES1162743372</v>
      </c>
      <c r="C3172" s="3" t="s">
        <v>2154</v>
      </c>
      <c r="D3172" s="3">
        <v>1</v>
      </c>
      <c r="E3172" s="3" t="str">
        <f>"2170734439"</f>
        <v>2170734439</v>
      </c>
      <c r="F3172" s="3" t="s">
        <v>17</v>
      </c>
      <c r="G3172" s="3" t="s">
        <v>18</v>
      </c>
      <c r="H3172" s="3" t="s">
        <v>66</v>
      </c>
      <c r="I3172" s="3" t="s">
        <v>67</v>
      </c>
      <c r="J3172" s="3" t="s">
        <v>2267</v>
      </c>
      <c r="K3172" s="3" t="s">
        <v>2210</v>
      </c>
      <c r="L3172" s="4">
        <v>0.42222222222222222</v>
      </c>
      <c r="M3172" s="3" t="s">
        <v>2268</v>
      </c>
      <c r="N3172" s="3" t="s">
        <v>24</v>
      </c>
      <c r="O3172" s="3" t="s">
        <v>25</v>
      </c>
    </row>
    <row r="3173" spans="1:15">
      <c r="A3173" s="3" t="s">
        <v>15</v>
      </c>
      <c r="B3173" s="3" t="str">
        <f>"FES1162743430"</f>
        <v>FES1162743430</v>
      </c>
      <c r="C3173" s="3" t="s">
        <v>2154</v>
      </c>
      <c r="D3173" s="3">
        <v>1</v>
      </c>
      <c r="E3173" s="3" t="str">
        <f>"2170734865"</f>
        <v>2170734865</v>
      </c>
      <c r="F3173" s="3" t="s">
        <v>17</v>
      </c>
      <c r="G3173" s="3" t="s">
        <v>18</v>
      </c>
      <c r="H3173" s="3" t="s">
        <v>36</v>
      </c>
      <c r="I3173" s="3" t="s">
        <v>37</v>
      </c>
      <c r="J3173" s="3" t="s">
        <v>133</v>
      </c>
      <c r="K3173" s="3" t="s">
        <v>2210</v>
      </c>
      <c r="L3173" s="4">
        <v>0.37361111111111112</v>
      </c>
      <c r="M3173" s="3" t="s">
        <v>2269</v>
      </c>
      <c r="N3173" s="3" t="s">
        <v>24</v>
      </c>
      <c r="O3173" s="3" t="s">
        <v>25</v>
      </c>
    </row>
    <row r="3174" spans="1:15">
      <c r="A3174" s="3" t="s">
        <v>15</v>
      </c>
      <c r="B3174" s="3" t="str">
        <f>"FES1162743419"</f>
        <v>FES1162743419</v>
      </c>
      <c r="C3174" s="3" t="s">
        <v>2154</v>
      </c>
      <c r="D3174" s="3">
        <v>1</v>
      </c>
      <c r="E3174" s="3" t="str">
        <f>"2170734856"</f>
        <v>2170734856</v>
      </c>
      <c r="F3174" s="3" t="s">
        <v>17</v>
      </c>
      <c r="G3174" s="3" t="s">
        <v>18</v>
      </c>
      <c r="H3174" s="3" t="s">
        <v>100</v>
      </c>
      <c r="I3174" s="3" t="s">
        <v>144</v>
      </c>
      <c r="J3174" s="3" t="s">
        <v>378</v>
      </c>
      <c r="K3174" s="3" t="s">
        <v>2210</v>
      </c>
      <c r="L3174" s="4">
        <v>0.41666666666666669</v>
      </c>
      <c r="M3174" s="3" t="s">
        <v>2270</v>
      </c>
      <c r="N3174" s="3" t="s">
        <v>24</v>
      </c>
      <c r="O3174" s="3" t="s">
        <v>25</v>
      </c>
    </row>
    <row r="3175" spans="1:15">
      <c r="A3175" s="3" t="s">
        <v>15</v>
      </c>
      <c r="B3175" s="3" t="str">
        <f>"FES1162743343"</f>
        <v>FES1162743343</v>
      </c>
      <c r="C3175" s="3" t="s">
        <v>2154</v>
      </c>
      <c r="D3175" s="3">
        <v>1</v>
      </c>
      <c r="E3175" s="3" t="str">
        <f>"2170734780"</f>
        <v>2170734780</v>
      </c>
      <c r="F3175" s="3" t="s">
        <v>17</v>
      </c>
      <c r="G3175" s="3" t="s">
        <v>18</v>
      </c>
      <c r="H3175" s="3" t="s">
        <v>18</v>
      </c>
      <c r="I3175" s="3" t="s">
        <v>29</v>
      </c>
      <c r="J3175" s="3" t="s">
        <v>401</v>
      </c>
      <c r="K3175" s="3" t="s">
        <v>2210</v>
      </c>
      <c r="L3175" s="4">
        <v>0.34513888888888888</v>
      </c>
      <c r="M3175" s="3" t="s">
        <v>2271</v>
      </c>
      <c r="N3175" s="3" t="s">
        <v>24</v>
      </c>
      <c r="O3175" s="3" t="s">
        <v>25</v>
      </c>
    </row>
    <row r="3176" spans="1:15">
      <c r="A3176" s="7" t="s">
        <v>15</v>
      </c>
      <c r="B3176" s="7" t="str">
        <f>"FES1162743289"</f>
        <v>FES1162743289</v>
      </c>
      <c r="C3176" s="7" t="s">
        <v>2154</v>
      </c>
      <c r="D3176" s="7">
        <v>1</v>
      </c>
      <c r="E3176" s="7" t="str">
        <f>"2170734691"</f>
        <v>2170734691</v>
      </c>
      <c r="F3176" s="7" t="s">
        <v>17</v>
      </c>
      <c r="G3176" s="7" t="s">
        <v>18</v>
      </c>
      <c r="H3176" s="7" t="s">
        <v>18</v>
      </c>
      <c r="I3176" s="7" t="s">
        <v>380</v>
      </c>
      <c r="J3176" s="7" t="s">
        <v>2272</v>
      </c>
      <c r="K3176" s="7" t="s">
        <v>447</v>
      </c>
      <c r="L3176" s="7"/>
      <c r="M3176" s="7" t="s">
        <v>448</v>
      </c>
      <c r="N3176" s="7" t="s">
        <v>1675</v>
      </c>
      <c r="O3176" s="7" t="s">
        <v>25</v>
      </c>
    </row>
    <row r="3177" spans="1:15">
      <c r="A3177" s="3" t="s">
        <v>15</v>
      </c>
      <c r="B3177" s="3" t="str">
        <f>"FES1162743400"</f>
        <v>FES1162743400</v>
      </c>
      <c r="C3177" s="3" t="s">
        <v>2154</v>
      </c>
      <c r="D3177" s="3">
        <v>1</v>
      </c>
      <c r="E3177" s="3" t="str">
        <f>"2170734838"</f>
        <v>2170734838</v>
      </c>
      <c r="F3177" s="3" t="s">
        <v>17</v>
      </c>
      <c r="G3177" s="3" t="s">
        <v>18</v>
      </c>
      <c r="H3177" s="3" t="s">
        <v>18</v>
      </c>
      <c r="I3177" s="3" t="s">
        <v>33</v>
      </c>
      <c r="J3177" s="3" t="s">
        <v>34</v>
      </c>
      <c r="K3177" s="3" t="s">
        <v>2210</v>
      </c>
      <c r="L3177" s="4">
        <v>0.42638888888888887</v>
      </c>
      <c r="M3177" s="3" t="s">
        <v>344</v>
      </c>
      <c r="N3177" s="3" t="s">
        <v>24</v>
      </c>
      <c r="O3177" s="3" t="s">
        <v>25</v>
      </c>
    </row>
    <row r="3178" spans="1:15">
      <c r="A3178" s="3" t="s">
        <v>15</v>
      </c>
      <c r="B3178" s="3" t="str">
        <f>"FES1162743427"</f>
        <v>FES1162743427</v>
      </c>
      <c r="C3178" s="3" t="s">
        <v>2154</v>
      </c>
      <c r="D3178" s="3">
        <v>1</v>
      </c>
      <c r="E3178" s="3" t="str">
        <f>"2170733006"</f>
        <v>2170733006</v>
      </c>
      <c r="F3178" s="3" t="s">
        <v>17</v>
      </c>
      <c r="G3178" s="3" t="s">
        <v>18</v>
      </c>
      <c r="H3178" s="3" t="s">
        <v>100</v>
      </c>
      <c r="I3178" s="3" t="s">
        <v>101</v>
      </c>
      <c r="J3178" s="3" t="s">
        <v>655</v>
      </c>
      <c r="K3178" s="3" t="s">
        <v>2210</v>
      </c>
      <c r="L3178" s="4">
        <v>0.42777777777777781</v>
      </c>
      <c r="M3178" s="3" t="s">
        <v>1547</v>
      </c>
      <c r="N3178" s="3" t="s">
        <v>24</v>
      </c>
      <c r="O3178" s="3" t="s">
        <v>25</v>
      </c>
    </row>
    <row r="3179" spans="1:15">
      <c r="A3179" s="3" t="s">
        <v>15</v>
      </c>
      <c r="B3179" s="3" t="str">
        <f>"FES1162743401"</f>
        <v>FES1162743401</v>
      </c>
      <c r="C3179" s="3" t="s">
        <v>2154</v>
      </c>
      <c r="D3179" s="3">
        <v>1</v>
      </c>
      <c r="E3179" s="3" t="str">
        <f>"2170732416"</f>
        <v>2170732416</v>
      </c>
      <c r="F3179" s="3" t="s">
        <v>17</v>
      </c>
      <c r="G3179" s="3" t="s">
        <v>18</v>
      </c>
      <c r="H3179" s="3" t="s">
        <v>18</v>
      </c>
      <c r="I3179" s="3" t="s">
        <v>29</v>
      </c>
      <c r="J3179" s="3" t="s">
        <v>2151</v>
      </c>
      <c r="K3179" s="3" t="s">
        <v>2210</v>
      </c>
      <c r="L3179" s="4">
        <v>0.5</v>
      </c>
      <c r="M3179" s="3" t="s">
        <v>2273</v>
      </c>
      <c r="N3179" s="3" t="s">
        <v>24</v>
      </c>
      <c r="O3179" s="3" t="s">
        <v>25</v>
      </c>
    </row>
    <row r="3180" spans="1:15">
      <c r="A3180" s="3" t="s">
        <v>15</v>
      </c>
      <c r="B3180" s="3" t="str">
        <f>"FES1162743399"</f>
        <v>FES1162743399</v>
      </c>
      <c r="C3180" s="3" t="s">
        <v>2154</v>
      </c>
      <c r="D3180" s="3">
        <v>1</v>
      </c>
      <c r="E3180" s="3" t="str">
        <f>"2170734837"</f>
        <v>2170734837</v>
      </c>
      <c r="F3180" s="3" t="s">
        <v>17</v>
      </c>
      <c r="G3180" s="3" t="s">
        <v>18</v>
      </c>
      <c r="H3180" s="3" t="s">
        <v>18</v>
      </c>
      <c r="I3180" s="3" t="s">
        <v>453</v>
      </c>
      <c r="J3180" s="3" t="s">
        <v>454</v>
      </c>
      <c r="K3180" s="3" t="s">
        <v>2210</v>
      </c>
      <c r="L3180" s="4">
        <v>0.33333333333333331</v>
      </c>
      <c r="M3180" s="3" t="s">
        <v>455</v>
      </c>
      <c r="N3180" s="3" t="s">
        <v>24</v>
      </c>
      <c r="O3180" s="3" t="s">
        <v>25</v>
      </c>
    </row>
    <row r="3181" spans="1:15">
      <c r="A3181" s="7" t="s">
        <v>15</v>
      </c>
      <c r="B3181" s="7" t="str">
        <f>"FES1162743394"</f>
        <v>FES1162743394</v>
      </c>
      <c r="C3181" s="7" t="s">
        <v>2154</v>
      </c>
      <c r="D3181" s="7">
        <v>1</v>
      </c>
      <c r="E3181" s="7" t="str">
        <f>"2170734830"</f>
        <v>2170734830</v>
      </c>
      <c r="F3181" s="7" t="s">
        <v>17</v>
      </c>
      <c r="G3181" s="7" t="s">
        <v>18</v>
      </c>
      <c r="H3181" s="7" t="s">
        <v>18</v>
      </c>
      <c r="I3181" s="7" t="s">
        <v>151</v>
      </c>
      <c r="J3181" s="7" t="s">
        <v>407</v>
      </c>
      <c r="K3181" s="7" t="s">
        <v>447</v>
      </c>
      <c r="L3181" s="7"/>
      <c r="M3181" s="7" t="s">
        <v>448</v>
      </c>
      <c r="N3181" s="7" t="s">
        <v>1675</v>
      </c>
      <c r="O3181" s="7" t="s">
        <v>25</v>
      </c>
    </row>
    <row r="3182" spans="1:15">
      <c r="A3182" s="3" t="s">
        <v>15</v>
      </c>
      <c r="B3182" s="3" t="str">
        <f>"FES1162743318"</f>
        <v>FES1162743318</v>
      </c>
      <c r="C3182" s="3" t="s">
        <v>2154</v>
      </c>
      <c r="D3182" s="3">
        <v>1</v>
      </c>
      <c r="E3182" s="3" t="str">
        <f>"2170734740"</f>
        <v>2170734740</v>
      </c>
      <c r="F3182" s="3" t="s">
        <v>17</v>
      </c>
      <c r="G3182" s="3" t="s">
        <v>18</v>
      </c>
      <c r="H3182" s="3" t="s">
        <v>18</v>
      </c>
      <c r="I3182" s="3" t="s">
        <v>341</v>
      </c>
      <c r="J3182" s="3" t="s">
        <v>342</v>
      </c>
      <c r="K3182" s="3" t="s">
        <v>2210</v>
      </c>
      <c r="L3182" s="4">
        <v>0.40833333333333338</v>
      </c>
      <c r="M3182" s="3" t="s">
        <v>343</v>
      </c>
      <c r="N3182" s="3" t="s">
        <v>24</v>
      </c>
      <c r="O3182" s="3" t="s">
        <v>25</v>
      </c>
    </row>
    <row r="3183" spans="1:15">
      <c r="A3183" s="3" t="s">
        <v>15</v>
      </c>
      <c r="B3183" s="3" t="str">
        <f>"FES1162743440"</f>
        <v>FES1162743440</v>
      </c>
      <c r="C3183" s="3" t="s">
        <v>2154</v>
      </c>
      <c r="D3183" s="3">
        <v>1</v>
      </c>
      <c r="E3183" s="3" t="str">
        <f>"2170734875"</f>
        <v>2170734875</v>
      </c>
      <c r="F3183" s="3" t="s">
        <v>17</v>
      </c>
      <c r="G3183" s="3" t="s">
        <v>18</v>
      </c>
      <c r="H3183" s="3" t="s">
        <v>19</v>
      </c>
      <c r="I3183" s="3" t="s">
        <v>20</v>
      </c>
      <c r="J3183" s="3" t="s">
        <v>21</v>
      </c>
      <c r="K3183" s="3" t="s">
        <v>2210</v>
      </c>
      <c r="L3183" s="4">
        <v>0.35486111111111113</v>
      </c>
      <c r="M3183" s="3" t="s">
        <v>200</v>
      </c>
      <c r="N3183" s="3" t="s">
        <v>24</v>
      </c>
      <c r="O3183" s="3" t="s">
        <v>25</v>
      </c>
    </row>
    <row r="3184" spans="1:15">
      <c r="A3184" s="3" t="s">
        <v>15</v>
      </c>
      <c r="B3184" s="3" t="str">
        <f>"FES1162743433"</f>
        <v>FES1162743433</v>
      </c>
      <c r="C3184" s="3" t="s">
        <v>2154</v>
      </c>
      <c r="D3184" s="3">
        <v>1</v>
      </c>
      <c r="E3184" s="3" t="str">
        <f>"2170734868"</f>
        <v>2170734868</v>
      </c>
      <c r="F3184" s="3" t="s">
        <v>17</v>
      </c>
      <c r="G3184" s="3" t="s">
        <v>18</v>
      </c>
      <c r="H3184" s="3" t="s">
        <v>19</v>
      </c>
      <c r="I3184" s="3" t="s">
        <v>277</v>
      </c>
      <c r="J3184" s="3" t="s">
        <v>278</v>
      </c>
      <c r="K3184" s="3" t="s">
        <v>2210</v>
      </c>
      <c r="L3184" s="4">
        <v>0.41666666666666669</v>
      </c>
      <c r="M3184" s="3" t="s">
        <v>279</v>
      </c>
      <c r="N3184" s="3" t="s">
        <v>24</v>
      </c>
      <c r="O3184" s="3" t="s">
        <v>25</v>
      </c>
    </row>
    <row r="3185" spans="1:15">
      <c r="A3185" s="3" t="s">
        <v>15</v>
      </c>
      <c r="B3185" s="3" t="str">
        <f>"FES1162743443"</f>
        <v>FES1162743443</v>
      </c>
      <c r="C3185" s="3" t="s">
        <v>2154</v>
      </c>
      <c r="D3185" s="3">
        <v>1</v>
      </c>
      <c r="E3185" s="3" t="str">
        <f>"21707342586"</f>
        <v>21707342586</v>
      </c>
      <c r="F3185" s="3" t="s">
        <v>17</v>
      </c>
      <c r="G3185" s="3" t="s">
        <v>18</v>
      </c>
      <c r="H3185" s="3" t="s">
        <v>66</v>
      </c>
      <c r="I3185" s="3" t="s">
        <v>177</v>
      </c>
      <c r="J3185" s="3" t="s">
        <v>597</v>
      </c>
      <c r="K3185" s="3" t="s">
        <v>2210</v>
      </c>
      <c r="L3185" s="4">
        <v>0.45833333333333331</v>
      </c>
      <c r="M3185" s="3" t="s">
        <v>2226</v>
      </c>
      <c r="N3185" s="3" t="s">
        <v>24</v>
      </c>
      <c r="O3185" s="3" t="s">
        <v>25</v>
      </c>
    </row>
    <row r="3186" spans="1:15">
      <c r="A3186" s="3" t="s">
        <v>15</v>
      </c>
      <c r="B3186" s="3" t="str">
        <f>"FES1162743434"</f>
        <v>FES1162743434</v>
      </c>
      <c r="C3186" s="3" t="s">
        <v>2154</v>
      </c>
      <c r="D3186" s="3">
        <v>1</v>
      </c>
      <c r="E3186" s="3" t="str">
        <f>"2170734869"</f>
        <v>2170734869</v>
      </c>
      <c r="F3186" s="3" t="s">
        <v>17</v>
      </c>
      <c r="G3186" s="3" t="s">
        <v>18</v>
      </c>
      <c r="H3186" s="3" t="s">
        <v>19</v>
      </c>
      <c r="I3186" s="3" t="s">
        <v>277</v>
      </c>
      <c r="J3186" s="3" t="s">
        <v>549</v>
      </c>
      <c r="K3186" s="3" t="s">
        <v>2210</v>
      </c>
      <c r="L3186" s="4">
        <v>0.40138888888888885</v>
      </c>
      <c r="M3186" s="3" t="s">
        <v>2274</v>
      </c>
      <c r="N3186" s="3" t="s">
        <v>24</v>
      </c>
      <c r="O3186" s="3" t="s">
        <v>25</v>
      </c>
    </row>
    <row r="3187" spans="1:15">
      <c r="A3187" s="3" t="s">
        <v>15</v>
      </c>
      <c r="B3187" s="3" t="str">
        <f>"FES1162743437"</f>
        <v>FES1162743437</v>
      </c>
      <c r="C3187" s="3" t="s">
        <v>2154</v>
      </c>
      <c r="D3187" s="3">
        <v>1</v>
      </c>
      <c r="E3187" s="3" t="str">
        <f>"2170734880"</f>
        <v>2170734880</v>
      </c>
      <c r="F3187" s="3" t="s">
        <v>17</v>
      </c>
      <c r="G3187" s="3" t="s">
        <v>18</v>
      </c>
      <c r="H3187" s="3" t="s">
        <v>100</v>
      </c>
      <c r="I3187" s="3" t="s">
        <v>101</v>
      </c>
      <c r="J3187" s="3" t="s">
        <v>731</v>
      </c>
      <c r="K3187" s="3" t="s">
        <v>2210</v>
      </c>
      <c r="L3187" s="4">
        <v>0.31319444444444444</v>
      </c>
      <c r="M3187" s="3" t="s">
        <v>732</v>
      </c>
      <c r="N3187" s="3" t="s">
        <v>24</v>
      </c>
      <c r="O3187" s="3" t="s">
        <v>25</v>
      </c>
    </row>
    <row r="3188" spans="1:15">
      <c r="A3188" s="3" t="s">
        <v>15</v>
      </c>
      <c r="B3188" s="3" t="str">
        <f>"FES1162743442"</f>
        <v>FES1162743442</v>
      </c>
      <c r="C3188" s="3" t="s">
        <v>2154</v>
      </c>
      <c r="D3188" s="3">
        <v>1</v>
      </c>
      <c r="E3188" s="3" t="str">
        <f>"2170734882"</f>
        <v>2170734882</v>
      </c>
      <c r="F3188" s="3" t="s">
        <v>17</v>
      </c>
      <c r="G3188" s="3" t="s">
        <v>18</v>
      </c>
      <c r="H3188" s="3" t="s">
        <v>36</v>
      </c>
      <c r="I3188" s="3" t="s">
        <v>37</v>
      </c>
      <c r="J3188" s="3" t="s">
        <v>943</v>
      </c>
      <c r="K3188" s="3" t="s">
        <v>2210</v>
      </c>
      <c r="L3188" s="4">
        <v>0.38194444444444442</v>
      </c>
      <c r="M3188" s="3" t="s">
        <v>2275</v>
      </c>
      <c r="N3188" s="3" t="s">
        <v>24</v>
      </c>
      <c r="O3188" s="3" t="s">
        <v>25</v>
      </c>
    </row>
    <row r="3189" spans="1:15">
      <c r="A3189" s="3" t="s">
        <v>15</v>
      </c>
      <c r="B3189" s="3" t="str">
        <f>"FES1162743445"</f>
        <v>FES1162743445</v>
      </c>
      <c r="C3189" s="3" t="s">
        <v>2154</v>
      </c>
      <c r="D3189" s="3">
        <v>1</v>
      </c>
      <c r="E3189" s="3" t="str">
        <f>"2170734884"</f>
        <v>2170734884</v>
      </c>
      <c r="F3189" s="3" t="s">
        <v>17</v>
      </c>
      <c r="G3189" s="3" t="s">
        <v>18</v>
      </c>
      <c r="H3189" s="3" t="s">
        <v>36</v>
      </c>
      <c r="I3189" s="3" t="s">
        <v>37</v>
      </c>
      <c r="J3189" s="3" t="s">
        <v>187</v>
      </c>
      <c r="K3189" s="3" t="s">
        <v>2210</v>
      </c>
      <c r="L3189" s="4">
        <v>0.35833333333333334</v>
      </c>
      <c r="M3189" s="3" t="s">
        <v>820</v>
      </c>
      <c r="N3189" s="3" t="s">
        <v>24</v>
      </c>
      <c r="O3189" s="3" t="s">
        <v>25</v>
      </c>
    </row>
    <row r="3190" spans="1:15">
      <c r="A3190" s="3" t="s">
        <v>15</v>
      </c>
      <c r="B3190" s="3" t="str">
        <f>"FES1162743386"</f>
        <v>FES1162743386</v>
      </c>
      <c r="C3190" s="3" t="s">
        <v>2154</v>
      </c>
      <c r="D3190" s="3">
        <v>1</v>
      </c>
      <c r="E3190" s="3" t="str">
        <f>"2170734820"</f>
        <v>2170734820</v>
      </c>
      <c r="F3190" s="3" t="s">
        <v>17</v>
      </c>
      <c r="G3190" s="3" t="s">
        <v>18</v>
      </c>
      <c r="H3190" s="3" t="s">
        <v>1518</v>
      </c>
      <c r="I3190" s="3" t="s">
        <v>1519</v>
      </c>
      <c r="J3190" s="3" t="s">
        <v>1520</v>
      </c>
      <c r="K3190" s="3" t="s">
        <v>2210</v>
      </c>
      <c r="L3190" s="4">
        <v>0.41666666666666669</v>
      </c>
      <c r="M3190" s="3" t="s">
        <v>2255</v>
      </c>
      <c r="N3190" s="3" t="s">
        <v>24</v>
      </c>
      <c r="O3190" s="3" t="s">
        <v>25</v>
      </c>
    </row>
    <row r="3191" spans="1:15">
      <c r="A3191" s="3" t="s">
        <v>15</v>
      </c>
      <c r="B3191" s="3" t="str">
        <f>"FES1162743438"</f>
        <v>FES1162743438</v>
      </c>
      <c r="C3191" s="3" t="s">
        <v>2154</v>
      </c>
      <c r="D3191" s="3">
        <v>1</v>
      </c>
      <c r="E3191" s="3" t="str">
        <f>"2170734871"</f>
        <v>2170734871</v>
      </c>
      <c r="F3191" s="3" t="s">
        <v>17</v>
      </c>
      <c r="G3191" s="3" t="s">
        <v>18</v>
      </c>
      <c r="H3191" s="3" t="s">
        <v>100</v>
      </c>
      <c r="I3191" s="3" t="s">
        <v>101</v>
      </c>
      <c r="J3191" s="3" t="s">
        <v>131</v>
      </c>
      <c r="K3191" s="3" t="s">
        <v>2210</v>
      </c>
      <c r="L3191" s="4">
        <v>0.36041666666666666</v>
      </c>
      <c r="M3191" s="3" t="s">
        <v>132</v>
      </c>
      <c r="N3191" s="3" t="s">
        <v>24</v>
      </c>
      <c r="O3191" s="3" t="s">
        <v>25</v>
      </c>
    </row>
    <row r="3192" spans="1:15">
      <c r="A3192" s="3" t="s">
        <v>15</v>
      </c>
      <c r="B3192" s="3" t="str">
        <f>"FES1162743435"</f>
        <v>FES1162743435</v>
      </c>
      <c r="C3192" s="3" t="s">
        <v>2154</v>
      </c>
      <c r="D3192" s="3">
        <v>1</v>
      </c>
      <c r="E3192" s="3" t="str">
        <f>"2170734871"</f>
        <v>2170734871</v>
      </c>
      <c r="F3192" s="3" t="s">
        <v>17</v>
      </c>
      <c r="G3192" s="3" t="s">
        <v>18</v>
      </c>
      <c r="H3192" s="3" t="s">
        <v>100</v>
      </c>
      <c r="I3192" s="3" t="s">
        <v>101</v>
      </c>
      <c r="J3192" s="3" t="s">
        <v>131</v>
      </c>
      <c r="K3192" s="3" t="s">
        <v>2210</v>
      </c>
      <c r="L3192" s="4">
        <v>0.36041666666666666</v>
      </c>
      <c r="M3192" s="3" t="s">
        <v>132</v>
      </c>
      <c r="N3192" s="3" t="s">
        <v>24</v>
      </c>
      <c r="O3192" s="3" t="s">
        <v>25</v>
      </c>
    </row>
    <row r="3193" spans="1:15">
      <c r="A3193" s="3" t="s">
        <v>15</v>
      </c>
      <c r="B3193" s="3" t="str">
        <f>"RFES1162742794"</f>
        <v>RFES1162742794</v>
      </c>
      <c r="C3193" s="3" t="s">
        <v>2154</v>
      </c>
      <c r="D3193" s="3">
        <v>1</v>
      </c>
      <c r="E3193" s="3" t="str">
        <f>"2170734178"</f>
        <v>2170734178</v>
      </c>
      <c r="F3193" s="3" t="s">
        <v>17</v>
      </c>
      <c r="G3193" s="3" t="s">
        <v>19</v>
      </c>
      <c r="H3193" s="3" t="s">
        <v>18</v>
      </c>
      <c r="I3193" s="3" t="s">
        <v>29</v>
      </c>
      <c r="J3193" s="3" t="s">
        <v>30</v>
      </c>
      <c r="K3193" s="3" t="s">
        <v>2210</v>
      </c>
      <c r="L3193" s="4">
        <v>0.37291666666666662</v>
      </c>
      <c r="M3193" s="3" t="s">
        <v>31</v>
      </c>
      <c r="N3193" s="3" t="s">
        <v>24</v>
      </c>
      <c r="O3193" s="3" t="s">
        <v>25</v>
      </c>
    </row>
    <row r="3194" spans="1:15">
      <c r="A3194" s="3" t="s">
        <v>15</v>
      </c>
      <c r="B3194" s="3" t="str">
        <f>"009935712349"</f>
        <v>009935712349</v>
      </c>
      <c r="C3194" s="3" t="s">
        <v>2154</v>
      </c>
      <c r="D3194" s="3">
        <v>1</v>
      </c>
      <c r="E3194" s="3" t="str">
        <f>"1162734788"</f>
        <v>1162734788</v>
      </c>
      <c r="F3194" s="3" t="s">
        <v>17</v>
      </c>
      <c r="G3194" s="3" t="s">
        <v>18</v>
      </c>
      <c r="H3194" s="3" t="s">
        <v>36</v>
      </c>
      <c r="I3194" s="3" t="s">
        <v>1802</v>
      </c>
      <c r="J3194" s="3" t="s">
        <v>1803</v>
      </c>
      <c r="K3194" s="3" t="s">
        <v>2210</v>
      </c>
      <c r="L3194" s="3" t="s">
        <v>2276</v>
      </c>
      <c r="M3194" s="3" t="s">
        <v>1805</v>
      </c>
      <c r="N3194" s="3" t="s">
        <v>24</v>
      </c>
      <c r="O3194" s="3" t="s">
        <v>464</v>
      </c>
    </row>
    <row r="3195" spans="1:15">
      <c r="A3195" s="3" t="s">
        <v>15</v>
      </c>
      <c r="B3195" s="2" t="str">
        <f>"019911311234"</f>
        <v>019911311234</v>
      </c>
      <c r="C3195" s="3" t="s">
        <v>2210</v>
      </c>
      <c r="D3195" s="3">
        <v>1</v>
      </c>
      <c r="E3195" s="3" t="str">
        <f>"1703"</f>
        <v>1703</v>
      </c>
      <c r="F3195" s="3" t="s">
        <v>528</v>
      </c>
      <c r="G3195" s="3" t="s">
        <v>100</v>
      </c>
      <c r="H3195" s="3" t="s">
        <v>948</v>
      </c>
      <c r="I3195" s="3" t="s">
        <v>29</v>
      </c>
      <c r="J3195" s="3" t="s">
        <v>2277</v>
      </c>
      <c r="K3195" s="3" t="s">
        <v>2278</v>
      </c>
      <c r="L3195" s="4">
        <v>0.34722222222222227</v>
      </c>
      <c r="M3195" s="3" t="s">
        <v>2279</v>
      </c>
      <c r="N3195" s="3" t="s">
        <v>24</v>
      </c>
      <c r="O3195" s="3"/>
    </row>
    <row r="3196" spans="1:15">
      <c r="A3196" s="3" t="s">
        <v>15</v>
      </c>
      <c r="B3196" s="2" t="str">
        <f>"019911311231"</f>
        <v>019911311231</v>
      </c>
      <c r="C3196" s="3" t="s">
        <v>2210</v>
      </c>
      <c r="D3196" s="3">
        <v>1</v>
      </c>
      <c r="E3196" s="3" t="str">
        <f>"1703"</f>
        <v>1703</v>
      </c>
      <c r="F3196" s="3" t="s">
        <v>528</v>
      </c>
      <c r="G3196" s="3" t="s">
        <v>100</v>
      </c>
      <c r="H3196" s="3" t="s">
        <v>948</v>
      </c>
      <c r="I3196" s="3" t="s">
        <v>29</v>
      </c>
      <c r="J3196" s="3" t="s">
        <v>2277</v>
      </c>
      <c r="K3196" s="3" t="s">
        <v>2278</v>
      </c>
      <c r="L3196" s="4">
        <v>0.34722222222222227</v>
      </c>
      <c r="M3196" s="3" t="s">
        <v>2279</v>
      </c>
      <c r="N3196" s="3" t="s">
        <v>24</v>
      </c>
      <c r="O3196" s="3"/>
    </row>
    <row r="3197" spans="1:15">
      <c r="A3197" s="3" t="s">
        <v>15</v>
      </c>
      <c r="B3197" s="2" t="str">
        <f>"FES1162743496"</f>
        <v>FES1162743496</v>
      </c>
      <c r="C3197" s="3" t="s">
        <v>2210</v>
      </c>
      <c r="D3197" s="3">
        <v>1</v>
      </c>
      <c r="E3197" s="3" t="str">
        <f>"2170734929"</f>
        <v>2170734929</v>
      </c>
      <c r="F3197" s="3" t="s">
        <v>17</v>
      </c>
      <c r="G3197" s="3" t="s">
        <v>18</v>
      </c>
      <c r="H3197" s="3" t="s">
        <v>100</v>
      </c>
      <c r="I3197" s="3" t="s">
        <v>101</v>
      </c>
      <c r="J3197" s="3" t="s">
        <v>101</v>
      </c>
      <c r="K3197" s="3" t="s">
        <v>2280</v>
      </c>
      <c r="L3197" s="4">
        <v>0.22708333333333333</v>
      </c>
      <c r="M3197" s="3" t="s">
        <v>654</v>
      </c>
      <c r="N3197" s="3" t="s">
        <v>24</v>
      </c>
      <c r="O3197" s="3"/>
    </row>
    <row r="3198" spans="1:15">
      <c r="A3198" s="3" t="s">
        <v>15</v>
      </c>
      <c r="B3198" s="2" t="str">
        <f>"FES1162743483"</f>
        <v>FES1162743483</v>
      </c>
      <c r="C3198" s="3" t="s">
        <v>2210</v>
      </c>
      <c r="D3198" s="3">
        <v>1</v>
      </c>
      <c r="E3198" s="3" t="str">
        <f>"2170734911"</f>
        <v>2170734911</v>
      </c>
      <c r="F3198" s="3" t="s">
        <v>17</v>
      </c>
      <c r="G3198" s="3" t="s">
        <v>18</v>
      </c>
      <c r="H3198" s="3" t="s">
        <v>100</v>
      </c>
      <c r="I3198" s="3" t="s">
        <v>101</v>
      </c>
      <c r="J3198" s="3" t="s">
        <v>101</v>
      </c>
      <c r="K3198" s="3" t="s">
        <v>2280</v>
      </c>
      <c r="L3198" s="4">
        <v>0.22777777777777777</v>
      </c>
      <c r="M3198" s="3" t="s">
        <v>268</v>
      </c>
      <c r="N3198" s="3" t="s">
        <v>24</v>
      </c>
      <c r="O3198" s="3"/>
    </row>
    <row r="3199" spans="1:15">
      <c r="A3199" s="3" t="s">
        <v>15</v>
      </c>
      <c r="B3199" s="2" t="str">
        <f>"FES1162743447"</f>
        <v>FES1162743447</v>
      </c>
      <c r="C3199" s="3" t="s">
        <v>2210</v>
      </c>
      <c r="D3199" s="3">
        <v>1</v>
      </c>
      <c r="E3199" s="3" t="str">
        <f>"2170734886"</f>
        <v>2170734886</v>
      </c>
      <c r="F3199" s="3" t="s">
        <v>17</v>
      </c>
      <c r="G3199" s="3" t="s">
        <v>18</v>
      </c>
      <c r="H3199" s="3" t="s">
        <v>100</v>
      </c>
      <c r="I3199" s="3" t="s">
        <v>101</v>
      </c>
      <c r="J3199" s="3" t="s">
        <v>101</v>
      </c>
      <c r="K3199" s="3" t="s">
        <v>2280</v>
      </c>
      <c r="L3199" s="4">
        <v>0.22916666666666666</v>
      </c>
      <c r="M3199" s="3" t="s">
        <v>654</v>
      </c>
      <c r="N3199" s="3" t="s">
        <v>24</v>
      </c>
      <c r="O3199" s="3"/>
    </row>
    <row r="3200" spans="1:15">
      <c r="A3200" s="3" t="s">
        <v>15</v>
      </c>
      <c r="B3200" s="2" t="str">
        <f>"FES1162743474"</f>
        <v>FES1162743474</v>
      </c>
      <c r="C3200" s="3" t="s">
        <v>2210</v>
      </c>
      <c r="D3200" s="3">
        <v>1</v>
      </c>
      <c r="E3200" s="3" t="str">
        <f>"2170734893"</f>
        <v>2170734893</v>
      </c>
      <c r="F3200" s="3" t="s">
        <v>17</v>
      </c>
      <c r="G3200" s="3" t="s">
        <v>18</v>
      </c>
      <c r="H3200" s="3" t="s">
        <v>100</v>
      </c>
      <c r="I3200" s="3" t="s">
        <v>155</v>
      </c>
      <c r="J3200" s="3" t="s">
        <v>101</v>
      </c>
      <c r="K3200" s="3" t="s">
        <v>2280</v>
      </c>
      <c r="L3200" s="4">
        <v>0.22777777777777777</v>
      </c>
      <c r="M3200" s="3" t="s">
        <v>334</v>
      </c>
      <c r="N3200" s="3" t="s">
        <v>24</v>
      </c>
      <c r="O3200" s="3"/>
    </row>
    <row r="3201" spans="1:15">
      <c r="A3201" s="3" t="s">
        <v>15</v>
      </c>
      <c r="B3201" s="2" t="str">
        <f>"FES1162743543"</f>
        <v>FES1162743543</v>
      </c>
      <c r="C3201" s="3" t="s">
        <v>2210</v>
      </c>
      <c r="D3201" s="3">
        <v>1</v>
      </c>
      <c r="E3201" s="3" t="str">
        <f>"2170733822"</f>
        <v>2170733822</v>
      </c>
      <c r="F3201" s="3" t="s">
        <v>17</v>
      </c>
      <c r="G3201" s="3" t="s">
        <v>18</v>
      </c>
      <c r="H3201" s="3" t="s">
        <v>46</v>
      </c>
      <c r="I3201" s="3" t="s">
        <v>47</v>
      </c>
      <c r="J3201" s="3" t="s">
        <v>47</v>
      </c>
      <c r="K3201" s="3" t="s">
        <v>2280</v>
      </c>
      <c r="L3201" s="4">
        <v>0.32083333333333336</v>
      </c>
      <c r="M3201" s="3" t="s">
        <v>2281</v>
      </c>
      <c r="N3201" s="3" t="s">
        <v>24</v>
      </c>
      <c r="O3201" s="3"/>
    </row>
    <row r="3202" spans="1:15">
      <c r="A3202" s="7" t="s">
        <v>15</v>
      </c>
      <c r="B3202" s="12" t="str">
        <f>"FES1162743531"</f>
        <v>FES1162743531</v>
      </c>
      <c r="C3202" s="7" t="s">
        <v>2210</v>
      </c>
      <c r="D3202" s="7">
        <v>1</v>
      </c>
      <c r="E3202" s="7" t="str">
        <f>"2170733545"</f>
        <v>2170733545</v>
      </c>
      <c r="F3202" s="7" t="s">
        <v>17</v>
      </c>
      <c r="G3202" s="7" t="s">
        <v>18</v>
      </c>
      <c r="H3202" s="7" t="s">
        <v>18</v>
      </c>
      <c r="I3202" s="7" t="s">
        <v>33</v>
      </c>
      <c r="J3202" s="7" t="s">
        <v>18</v>
      </c>
      <c r="K3202" s="7" t="s">
        <v>2210</v>
      </c>
      <c r="L3202" s="13">
        <v>0.69166666666666676</v>
      </c>
      <c r="M3202" s="7" t="s">
        <v>448</v>
      </c>
      <c r="N3202" s="7" t="s">
        <v>2282</v>
      </c>
      <c r="O3202" s="7"/>
    </row>
    <row r="3203" spans="1:15">
      <c r="A3203" s="3" t="s">
        <v>15</v>
      </c>
      <c r="B3203" s="2" t="str">
        <f>"FES1162743527"</f>
        <v>FES1162743527</v>
      </c>
      <c r="C3203" s="3" t="s">
        <v>2210</v>
      </c>
      <c r="D3203" s="3">
        <v>1</v>
      </c>
      <c r="E3203" s="3" t="str">
        <f>"2170733424"</f>
        <v>2170733424</v>
      </c>
      <c r="F3203" s="3" t="s">
        <v>17</v>
      </c>
      <c r="G3203" s="3" t="s">
        <v>18</v>
      </c>
      <c r="H3203" s="3" t="s">
        <v>100</v>
      </c>
      <c r="I3203" s="3" t="s">
        <v>101</v>
      </c>
      <c r="J3203" s="3" t="s">
        <v>101</v>
      </c>
      <c r="K3203" s="3" t="s">
        <v>2280</v>
      </c>
      <c r="L3203" s="4">
        <v>0.22152777777777777</v>
      </c>
      <c r="M3203" s="3" t="s">
        <v>2283</v>
      </c>
      <c r="N3203" s="3" t="s">
        <v>24</v>
      </c>
      <c r="O3203" s="3"/>
    </row>
    <row r="3204" spans="1:15">
      <c r="A3204" s="3" t="s">
        <v>15</v>
      </c>
      <c r="B3204" s="2" t="str">
        <f>"FES1162743464"</f>
        <v>FES1162743464</v>
      </c>
      <c r="C3204" s="3" t="s">
        <v>2210</v>
      </c>
      <c r="D3204" s="3">
        <v>1</v>
      </c>
      <c r="E3204" s="3" t="str">
        <f>"2170733177"</f>
        <v>2170733177</v>
      </c>
      <c r="F3204" s="3" t="s">
        <v>17</v>
      </c>
      <c r="G3204" s="3" t="s">
        <v>18</v>
      </c>
      <c r="H3204" s="3" t="s">
        <v>46</v>
      </c>
      <c r="I3204" s="3" t="s">
        <v>47</v>
      </c>
      <c r="J3204" s="3" t="s">
        <v>47</v>
      </c>
      <c r="K3204" s="3" t="s">
        <v>2280</v>
      </c>
      <c r="L3204" s="4">
        <v>0.32013888888888892</v>
      </c>
      <c r="M3204" s="3" t="s">
        <v>2284</v>
      </c>
      <c r="N3204" s="3" t="s">
        <v>24</v>
      </c>
      <c r="O3204" s="3"/>
    </row>
    <row r="3205" spans="1:15">
      <c r="A3205" s="3" t="s">
        <v>15</v>
      </c>
      <c r="B3205" s="2" t="str">
        <f>"FES1162743545"</f>
        <v>FES1162743545</v>
      </c>
      <c r="C3205" s="3" t="s">
        <v>2210</v>
      </c>
      <c r="D3205" s="3">
        <v>1</v>
      </c>
      <c r="E3205" s="3" t="str">
        <f>"2170733960"</f>
        <v>2170733960</v>
      </c>
      <c r="F3205" s="3" t="s">
        <v>17</v>
      </c>
      <c r="G3205" s="3" t="s">
        <v>18</v>
      </c>
      <c r="H3205" s="3" t="s">
        <v>46</v>
      </c>
      <c r="I3205" s="3" t="s">
        <v>47</v>
      </c>
      <c r="J3205" s="3" t="s">
        <v>47</v>
      </c>
      <c r="K3205" s="3" t="s">
        <v>2280</v>
      </c>
      <c r="L3205" s="4">
        <v>0.32013888888888892</v>
      </c>
      <c r="M3205" s="3" t="s">
        <v>1508</v>
      </c>
      <c r="N3205" s="3" t="s">
        <v>24</v>
      </c>
      <c r="O3205" s="3"/>
    </row>
    <row r="3206" spans="1:15">
      <c r="A3206" s="3" t="s">
        <v>15</v>
      </c>
      <c r="B3206" s="2" t="str">
        <f>"FES1162743467"</f>
        <v>FES1162743467</v>
      </c>
      <c r="C3206" s="3" t="s">
        <v>2210</v>
      </c>
      <c r="D3206" s="3">
        <v>1</v>
      </c>
      <c r="E3206" s="3" t="str">
        <f>"2170733526"</f>
        <v>2170733526</v>
      </c>
      <c r="F3206" s="3" t="s">
        <v>17</v>
      </c>
      <c r="G3206" s="3" t="s">
        <v>18</v>
      </c>
      <c r="H3206" s="3" t="s">
        <v>36</v>
      </c>
      <c r="I3206" s="3" t="s">
        <v>330</v>
      </c>
      <c r="J3206" s="3" t="s">
        <v>37</v>
      </c>
      <c r="K3206" s="3" t="s">
        <v>2280</v>
      </c>
      <c r="L3206" s="4">
        <v>0.30555555555555552</v>
      </c>
      <c r="M3206" s="3" t="s">
        <v>2285</v>
      </c>
      <c r="N3206" s="3" t="s">
        <v>24</v>
      </c>
      <c r="O3206" s="3"/>
    </row>
    <row r="3207" spans="1:15">
      <c r="A3207" s="3" t="s">
        <v>15</v>
      </c>
      <c r="B3207" s="2" t="str">
        <f>"FES1162743581"</f>
        <v>FES1162743581</v>
      </c>
      <c r="C3207" s="3" t="s">
        <v>2210</v>
      </c>
      <c r="D3207" s="3">
        <v>1</v>
      </c>
      <c r="E3207" s="3" t="str">
        <f>"2170734966"</f>
        <v>2170734966</v>
      </c>
      <c r="F3207" s="3" t="s">
        <v>17</v>
      </c>
      <c r="G3207" s="3" t="s">
        <v>18</v>
      </c>
      <c r="H3207" s="3" t="s">
        <v>36</v>
      </c>
      <c r="I3207" s="3" t="s">
        <v>37</v>
      </c>
      <c r="J3207" s="3" t="s">
        <v>37</v>
      </c>
      <c r="K3207" s="3" t="s">
        <v>2280</v>
      </c>
      <c r="L3207" s="4">
        <v>0.30624999999999997</v>
      </c>
      <c r="M3207" s="3" t="s">
        <v>1678</v>
      </c>
      <c r="N3207" s="3" t="s">
        <v>24</v>
      </c>
      <c r="O3207" s="3"/>
    </row>
    <row r="3208" spans="1:15">
      <c r="A3208" s="7" t="s">
        <v>15</v>
      </c>
      <c r="B3208" s="12" t="str">
        <f>"FES1162743460"</f>
        <v>FES1162743460</v>
      </c>
      <c r="C3208" s="7" t="s">
        <v>2210</v>
      </c>
      <c r="D3208" s="7">
        <v>1</v>
      </c>
      <c r="E3208" s="7" t="str">
        <f>"2170732596"</f>
        <v>2170732596</v>
      </c>
      <c r="F3208" s="7" t="s">
        <v>17</v>
      </c>
      <c r="G3208" s="7" t="s">
        <v>18</v>
      </c>
      <c r="H3208" s="7" t="s">
        <v>36</v>
      </c>
      <c r="I3208" s="7" t="s">
        <v>37</v>
      </c>
      <c r="J3208" s="7" t="s">
        <v>37</v>
      </c>
      <c r="K3208" s="7" t="s">
        <v>2280</v>
      </c>
      <c r="L3208" s="13">
        <v>0.30555555555555552</v>
      </c>
      <c r="M3208" s="7" t="s">
        <v>448</v>
      </c>
      <c r="N3208" s="7" t="s">
        <v>2282</v>
      </c>
      <c r="O3208" s="7"/>
    </row>
    <row r="3209" spans="1:15">
      <c r="A3209" s="3" t="s">
        <v>15</v>
      </c>
      <c r="B3209" s="2" t="str">
        <f>"FES1162743538"</f>
        <v>FES1162743538</v>
      </c>
      <c r="C3209" s="3" t="s">
        <v>2210</v>
      </c>
      <c r="D3209" s="3">
        <v>1</v>
      </c>
      <c r="E3209" s="3" t="str">
        <f>"2170733704"</f>
        <v>2170733704</v>
      </c>
      <c r="F3209" s="3" t="s">
        <v>17</v>
      </c>
      <c r="G3209" s="3" t="s">
        <v>18</v>
      </c>
      <c r="H3209" s="3" t="s">
        <v>46</v>
      </c>
      <c r="I3209" s="3" t="s">
        <v>47</v>
      </c>
      <c r="J3209" s="3" t="s">
        <v>47</v>
      </c>
      <c r="K3209" s="3" t="s">
        <v>2280</v>
      </c>
      <c r="L3209" s="4">
        <v>0.32083333333333336</v>
      </c>
      <c r="M3209" s="3" t="s">
        <v>2286</v>
      </c>
      <c r="N3209" s="3" t="s">
        <v>24</v>
      </c>
      <c r="O3209" s="3"/>
    </row>
    <row r="3210" spans="1:15">
      <c r="A3210" s="3" t="s">
        <v>15</v>
      </c>
      <c r="B3210" s="2" t="str">
        <f>"FES116273554"</f>
        <v>FES116273554</v>
      </c>
      <c r="C3210" s="3" t="s">
        <v>2210</v>
      </c>
      <c r="D3210" s="3">
        <v>1</v>
      </c>
      <c r="E3210" s="3" t="str">
        <f>"2170734211"</f>
        <v>2170734211</v>
      </c>
      <c r="F3210" s="3" t="s">
        <v>17</v>
      </c>
      <c r="G3210" s="3" t="s">
        <v>18</v>
      </c>
      <c r="H3210" s="3" t="s">
        <v>36</v>
      </c>
      <c r="I3210" s="3" t="s">
        <v>37</v>
      </c>
      <c r="J3210" s="3" t="s">
        <v>37</v>
      </c>
      <c r="K3210" s="3" t="s">
        <v>2280</v>
      </c>
      <c r="L3210" s="4">
        <v>0.30624999999999997</v>
      </c>
      <c r="M3210" s="3" t="s">
        <v>1678</v>
      </c>
      <c r="N3210" s="3" t="s">
        <v>24</v>
      </c>
      <c r="O3210" s="3"/>
    </row>
    <row r="3211" spans="1:15">
      <c r="A3211" s="3" t="s">
        <v>15</v>
      </c>
      <c r="B3211" s="2" t="str">
        <f>"FES1162743451"</f>
        <v>FES1162743451</v>
      </c>
      <c r="C3211" s="3" t="s">
        <v>2210</v>
      </c>
      <c r="D3211" s="3">
        <v>1</v>
      </c>
      <c r="E3211" s="3" t="str">
        <f>"2170729553"</f>
        <v>2170729553</v>
      </c>
      <c r="F3211" s="3" t="s">
        <v>17</v>
      </c>
      <c r="G3211" s="3" t="s">
        <v>18</v>
      </c>
      <c r="H3211" s="3" t="s">
        <v>36</v>
      </c>
      <c r="I3211" s="3" t="s">
        <v>37</v>
      </c>
      <c r="J3211" s="3" t="s">
        <v>37</v>
      </c>
      <c r="K3211" s="3" t="s">
        <v>2280</v>
      </c>
      <c r="L3211" s="4">
        <v>0.30763888888888891</v>
      </c>
      <c r="M3211" s="3" t="s">
        <v>820</v>
      </c>
      <c r="N3211" s="3" t="s">
        <v>24</v>
      </c>
      <c r="O3211" s="3"/>
    </row>
    <row r="3212" spans="1:15">
      <c r="A3212" s="3" t="s">
        <v>15</v>
      </c>
      <c r="B3212" s="2" t="str">
        <f>"FES1162743540"</f>
        <v>FES1162743540</v>
      </c>
      <c r="C3212" s="3" t="s">
        <v>2210</v>
      </c>
      <c r="D3212" s="3">
        <v>1</v>
      </c>
      <c r="E3212" s="3" t="str">
        <f>"2170733722"</f>
        <v>2170733722</v>
      </c>
      <c r="F3212" s="3" t="s">
        <v>17</v>
      </c>
      <c r="G3212" s="3" t="s">
        <v>18</v>
      </c>
      <c r="H3212" s="3" t="s">
        <v>100</v>
      </c>
      <c r="I3212" s="3" t="s">
        <v>262</v>
      </c>
      <c r="J3212" s="3" t="s">
        <v>101</v>
      </c>
      <c r="K3212" s="3" t="s">
        <v>2280</v>
      </c>
      <c r="L3212" s="4">
        <v>0.22847222222222222</v>
      </c>
      <c r="M3212" s="3" t="s">
        <v>2287</v>
      </c>
      <c r="N3212" s="3" t="s">
        <v>24</v>
      </c>
      <c r="O3212" s="3"/>
    </row>
    <row r="3213" spans="1:15">
      <c r="A3213" s="3" t="s">
        <v>15</v>
      </c>
      <c r="B3213" s="2" t="str">
        <f>"FES1162743542"</f>
        <v>FES1162743542</v>
      </c>
      <c r="C3213" s="3" t="s">
        <v>2210</v>
      </c>
      <c r="D3213" s="3">
        <v>1</v>
      </c>
      <c r="E3213" s="3" t="str">
        <f>"2170733797"</f>
        <v>2170733797</v>
      </c>
      <c r="F3213" s="3" t="s">
        <v>17</v>
      </c>
      <c r="G3213" s="3" t="s">
        <v>18</v>
      </c>
      <c r="H3213" s="3" t="s">
        <v>100</v>
      </c>
      <c r="I3213" s="3" t="s">
        <v>262</v>
      </c>
      <c r="J3213" s="3" t="s">
        <v>101</v>
      </c>
      <c r="K3213" s="3" t="s">
        <v>2280</v>
      </c>
      <c r="L3213" s="4">
        <v>0.22569444444444445</v>
      </c>
      <c r="M3213" s="3" t="s">
        <v>2287</v>
      </c>
      <c r="N3213" s="3" t="s">
        <v>24</v>
      </c>
      <c r="O3213" s="3"/>
    </row>
    <row r="3214" spans="1:15">
      <c r="A3214" s="3" t="s">
        <v>15</v>
      </c>
      <c r="B3214" s="2" t="str">
        <f>"FES1162743504"</f>
        <v>FES1162743504</v>
      </c>
      <c r="C3214" s="3" t="s">
        <v>2210</v>
      </c>
      <c r="D3214" s="3">
        <v>1</v>
      </c>
      <c r="E3214" s="3" t="str">
        <f>"2170734936"</f>
        <v>2170734936</v>
      </c>
      <c r="F3214" s="3" t="s">
        <v>17</v>
      </c>
      <c r="G3214" s="3" t="s">
        <v>18</v>
      </c>
      <c r="H3214" s="3" t="s">
        <v>100</v>
      </c>
      <c r="I3214" s="3" t="s">
        <v>101</v>
      </c>
      <c r="J3214" s="3" t="s">
        <v>101</v>
      </c>
      <c r="K3214" s="3" t="s">
        <v>2280</v>
      </c>
      <c r="L3214" s="4">
        <v>0.22916666666666666</v>
      </c>
      <c r="M3214" s="3" t="s">
        <v>2288</v>
      </c>
      <c r="N3214" s="3" t="s">
        <v>24</v>
      </c>
      <c r="O3214" s="3"/>
    </row>
    <row r="3215" spans="1:15">
      <c r="A3215" s="3" t="s">
        <v>15</v>
      </c>
      <c r="B3215" s="2" t="str">
        <f>"FES1162743444"</f>
        <v>FES1162743444</v>
      </c>
      <c r="C3215" s="3" t="s">
        <v>2210</v>
      </c>
      <c r="D3215" s="3">
        <v>1</v>
      </c>
      <c r="E3215" s="3" t="str">
        <f>"2170734883"</f>
        <v>2170734883</v>
      </c>
      <c r="F3215" s="3" t="s">
        <v>17</v>
      </c>
      <c r="G3215" s="3" t="s">
        <v>18</v>
      </c>
      <c r="H3215" s="3" t="s">
        <v>100</v>
      </c>
      <c r="I3215" s="3" t="s">
        <v>101</v>
      </c>
      <c r="J3215" s="3" t="s">
        <v>101</v>
      </c>
      <c r="K3215" s="3" t="s">
        <v>2280</v>
      </c>
      <c r="L3215" s="4">
        <v>0.22847222222222222</v>
      </c>
      <c r="M3215" s="3" t="s">
        <v>895</v>
      </c>
      <c r="N3215" s="3" t="s">
        <v>24</v>
      </c>
      <c r="O3215" s="3"/>
    </row>
    <row r="3216" spans="1:15">
      <c r="A3216" s="3" t="s">
        <v>15</v>
      </c>
      <c r="B3216" s="2" t="str">
        <f>"FES1162743450"</f>
        <v>FES1162743450</v>
      </c>
      <c r="C3216" s="3" t="s">
        <v>2210</v>
      </c>
      <c r="D3216" s="3">
        <v>1</v>
      </c>
      <c r="E3216" s="3" t="str">
        <f>"2170733754"</f>
        <v>2170733754</v>
      </c>
      <c r="F3216" s="3" t="s">
        <v>17</v>
      </c>
      <c r="G3216" s="3" t="s">
        <v>18</v>
      </c>
      <c r="H3216" s="3" t="s">
        <v>100</v>
      </c>
      <c r="I3216" s="3" t="s">
        <v>117</v>
      </c>
      <c r="J3216" s="3" t="s">
        <v>101</v>
      </c>
      <c r="K3216" s="3" t="s">
        <v>2280</v>
      </c>
      <c r="L3216" s="4">
        <v>0.22777777777777777</v>
      </c>
      <c r="M3216" s="3" t="s">
        <v>336</v>
      </c>
      <c r="N3216" s="3" t="s">
        <v>24</v>
      </c>
      <c r="O3216" s="3"/>
    </row>
    <row r="3217" spans="1:15">
      <c r="A3217" s="3" t="s">
        <v>15</v>
      </c>
      <c r="B3217" s="2" t="str">
        <f>"FES1162743492"</f>
        <v>FES1162743492</v>
      </c>
      <c r="C3217" s="3" t="s">
        <v>2210</v>
      </c>
      <c r="D3217" s="3">
        <v>1</v>
      </c>
      <c r="E3217" s="3" t="str">
        <f>"2170734913"</f>
        <v>2170734913</v>
      </c>
      <c r="F3217" s="3" t="s">
        <v>17</v>
      </c>
      <c r="G3217" s="3" t="s">
        <v>18</v>
      </c>
      <c r="H3217" s="3" t="s">
        <v>36</v>
      </c>
      <c r="I3217" s="3" t="s">
        <v>37</v>
      </c>
      <c r="J3217" s="3" t="s">
        <v>37</v>
      </c>
      <c r="K3217" s="3" t="s">
        <v>2280</v>
      </c>
      <c r="L3217" s="4">
        <v>0.30624999999999997</v>
      </c>
      <c r="M3217" s="3" t="s">
        <v>1678</v>
      </c>
      <c r="N3217" s="3" t="s">
        <v>24</v>
      </c>
      <c r="O3217" s="3"/>
    </row>
    <row r="3218" spans="1:15">
      <c r="A3218" s="7" t="s">
        <v>15</v>
      </c>
      <c r="B3218" s="12" t="str">
        <f>"FES1162743530"</f>
        <v>FES1162743530</v>
      </c>
      <c r="C3218" s="7" t="s">
        <v>2210</v>
      </c>
      <c r="D3218" s="7">
        <v>1</v>
      </c>
      <c r="E3218" s="7" t="str">
        <f>"2170733515"</f>
        <v>2170733515</v>
      </c>
      <c r="F3218" s="7" t="s">
        <v>17</v>
      </c>
      <c r="G3218" s="7" t="s">
        <v>18</v>
      </c>
      <c r="H3218" s="7" t="s">
        <v>18</v>
      </c>
      <c r="I3218" s="7" t="s">
        <v>168</v>
      </c>
      <c r="J3218" s="7" t="s">
        <v>18</v>
      </c>
      <c r="K3218" s="7" t="s">
        <v>2210</v>
      </c>
      <c r="L3218" s="13">
        <v>0.69166666666666676</v>
      </c>
      <c r="M3218" s="7" t="s">
        <v>2289</v>
      </c>
      <c r="N3218" s="7" t="s">
        <v>2282</v>
      </c>
      <c r="O3218" s="7"/>
    </row>
    <row r="3219" spans="1:15">
      <c r="A3219" s="3" t="s">
        <v>15</v>
      </c>
      <c r="B3219" s="2" t="str">
        <f>"FES1162743549"</f>
        <v>FES1162743549</v>
      </c>
      <c r="C3219" s="3" t="s">
        <v>2210</v>
      </c>
      <c r="D3219" s="3">
        <v>1</v>
      </c>
      <c r="E3219" s="3" t="str">
        <f>"2170734062"</f>
        <v>2170734062</v>
      </c>
      <c r="F3219" s="3" t="s">
        <v>17</v>
      </c>
      <c r="G3219" s="3" t="s">
        <v>18</v>
      </c>
      <c r="H3219" s="3" t="s">
        <v>18</v>
      </c>
      <c r="I3219" s="3" t="s">
        <v>313</v>
      </c>
      <c r="J3219" s="3" t="s">
        <v>18</v>
      </c>
      <c r="K3219" s="3" t="s">
        <v>2210</v>
      </c>
      <c r="L3219" s="4">
        <v>0.69166666666666676</v>
      </c>
      <c r="M3219" s="3" t="s">
        <v>1994</v>
      </c>
      <c r="N3219" s="3" t="s">
        <v>24</v>
      </c>
      <c r="O3219" s="3"/>
    </row>
    <row r="3220" spans="1:15">
      <c r="A3220" s="3" t="s">
        <v>15</v>
      </c>
      <c r="B3220" s="2" t="str">
        <f>"FES1162743517"</f>
        <v>FES1162743517</v>
      </c>
      <c r="C3220" s="3" t="s">
        <v>2210</v>
      </c>
      <c r="D3220" s="3">
        <v>1</v>
      </c>
      <c r="E3220" s="3" t="str">
        <f>"2170734940"</f>
        <v>2170734940</v>
      </c>
      <c r="F3220" s="3" t="s">
        <v>17</v>
      </c>
      <c r="G3220" s="3" t="s">
        <v>18</v>
      </c>
      <c r="H3220" s="3" t="s">
        <v>18</v>
      </c>
      <c r="I3220" s="3" t="s">
        <v>33</v>
      </c>
      <c r="J3220" s="3" t="s">
        <v>18</v>
      </c>
      <c r="K3220" s="3" t="s">
        <v>2210</v>
      </c>
      <c r="L3220" s="4">
        <v>0.69166666666666676</v>
      </c>
      <c r="M3220" s="3" t="s">
        <v>2290</v>
      </c>
      <c r="N3220" s="3" t="s">
        <v>24</v>
      </c>
      <c r="O3220" s="3"/>
    </row>
    <row r="3221" spans="1:15">
      <c r="A3221" s="3" t="s">
        <v>15</v>
      </c>
      <c r="B3221" s="2" t="str">
        <f>"FES1162743514"</f>
        <v>FES1162743514</v>
      </c>
      <c r="C3221" s="3" t="s">
        <v>2210</v>
      </c>
      <c r="D3221" s="3">
        <v>1</v>
      </c>
      <c r="E3221" s="3" t="str">
        <f>"2170734948"</f>
        <v>2170734948</v>
      </c>
      <c r="F3221" s="3" t="s">
        <v>17</v>
      </c>
      <c r="G3221" s="3" t="s">
        <v>18</v>
      </c>
      <c r="H3221" s="3" t="s">
        <v>66</v>
      </c>
      <c r="I3221" s="3" t="s">
        <v>67</v>
      </c>
      <c r="J3221" s="3" t="s">
        <v>67</v>
      </c>
      <c r="K3221" s="3" t="s">
        <v>2280</v>
      </c>
      <c r="L3221" s="4">
        <v>0.20555555555555557</v>
      </c>
      <c r="M3221" s="3" t="s">
        <v>2291</v>
      </c>
      <c r="N3221" s="3" t="s">
        <v>24</v>
      </c>
      <c r="O3221" s="3"/>
    </row>
    <row r="3222" spans="1:15">
      <c r="A3222" s="3" t="s">
        <v>15</v>
      </c>
      <c r="B3222" s="2" t="str">
        <f>"FES1162743575"</f>
        <v>FES1162743575</v>
      </c>
      <c r="C3222" s="3" t="s">
        <v>2210</v>
      </c>
      <c r="D3222" s="3">
        <v>1</v>
      </c>
      <c r="E3222" s="3" t="str">
        <f>"2170734965"</f>
        <v>2170734965</v>
      </c>
      <c r="F3222" s="3" t="s">
        <v>17</v>
      </c>
      <c r="G3222" s="3" t="s">
        <v>18</v>
      </c>
      <c r="H3222" s="3" t="s">
        <v>18</v>
      </c>
      <c r="I3222" s="3" t="s">
        <v>29</v>
      </c>
      <c r="J3222" s="3" t="s">
        <v>18</v>
      </c>
      <c r="K3222" s="3" t="s">
        <v>2210</v>
      </c>
      <c r="L3222" s="4">
        <v>0.69166666666666676</v>
      </c>
      <c r="M3222" s="3" t="s">
        <v>2292</v>
      </c>
      <c r="N3222" s="3" t="s">
        <v>24</v>
      </c>
      <c r="O3222" s="3"/>
    </row>
    <row r="3223" spans="1:15">
      <c r="A3223" s="3" t="s">
        <v>15</v>
      </c>
      <c r="B3223" s="2" t="str">
        <f>"FES1162743491"</f>
        <v>FES1162743491</v>
      </c>
      <c r="C3223" s="3" t="s">
        <v>2210</v>
      </c>
      <c r="D3223" s="3">
        <v>1</v>
      </c>
      <c r="E3223" s="3" t="str">
        <f>"2170734925"</f>
        <v>2170734925</v>
      </c>
      <c r="F3223" s="3" t="s">
        <v>1657</v>
      </c>
      <c r="G3223" s="3" t="s">
        <v>948</v>
      </c>
      <c r="H3223" s="3" t="s">
        <v>948</v>
      </c>
      <c r="I3223" s="3" t="s">
        <v>580</v>
      </c>
      <c r="J3223" s="3" t="s">
        <v>948</v>
      </c>
      <c r="K3223" s="3" t="s">
        <v>2280</v>
      </c>
      <c r="L3223" s="4">
        <v>0.4375</v>
      </c>
      <c r="M3223" s="3" t="s">
        <v>1454</v>
      </c>
      <c r="N3223" s="3" t="s">
        <v>24</v>
      </c>
      <c r="O3223" s="3"/>
    </row>
    <row r="3224" spans="1:15">
      <c r="A3224" s="7" t="s">
        <v>15</v>
      </c>
      <c r="B3224" s="12" t="str">
        <f>"FES1162743571"</f>
        <v>FES1162743571</v>
      </c>
      <c r="C3224" s="7" t="s">
        <v>2210</v>
      </c>
      <c r="D3224" s="7">
        <v>1</v>
      </c>
      <c r="E3224" s="7" t="str">
        <f>"2170734959"</f>
        <v>2170734959</v>
      </c>
      <c r="F3224" s="7" t="s">
        <v>1657</v>
      </c>
      <c r="G3224" s="7" t="s">
        <v>948</v>
      </c>
      <c r="H3224" s="7" t="s">
        <v>40</v>
      </c>
      <c r="I3224" s="7" t="s">
        <v>41</v>
      </c>
      <c r="J3224" s="7" t="s">
        <v>431</v>
      </c>
      <c r="K3224" s="7" t="s">
        <v>2280</v>
      </c>
      <c r="L3224" s="13">
        <v>0.29236111111111113</v>
      </c>
      <c r="M3224" s="7" t="s">
        <v>448</v>
      </c>
      <c r="N3224" s="7" t="s">
        <v>2282</v>
      </c>
      <c r="O3224" s="7"/>
    </row>
    <row r="3225" spans="1:15">
      <c r="A3225" s="3" t="s">
        <v>15</v>
      </c>
      <c r="B3225" s="2" t="str">
        <f>"FES1162743505"</f>
        <v>FES1162743505</v>
      </c>
      <c r="C3225" s="3" t="s">
        <v>2210</v>
      </c>
      <c r="D3225" s="3">
        <v>1</v>
      </c>
      <c r="E3225" s="3" t="str">
        <f>"2170734937"</f>
        <v>2170734937</v>
      </c>
      <c r="F3225" s="3" t="s">
        <v>17</v>
      </c>
      <c r="G3225" s="3" t="s">
        <v>18</v>
      </c>
      <c r="H3225" s="3" t="s">
        <v>18</v>
      </c>
      <c r="I3225" s="3" t="s">
        <v>29</v>
      </c>
      <c r="J3225" s="3" t="s">
        <v>18</v>
      </c>
      <c r="K3225" s="3" t="s">
        <v>2210</v>
      </c>
      <c r="L3225" s="4">
        <v>0.69166666666666676</v>
      </c>
      <c r="M3225" s="3" t="s">
        <v>1137</v>
      </c>
      <c r="N3225" s="3" t="s">
        <v>24</v>
      </c>
      <c r="O3225" s="3"/>
    </row>
    <row r="3226" spans="1:15">
      <c r="A3226" s="3" t="s">
        <v>15</v>
      </c>
      <c r="B3226" s="2" t="str">
        <f>"FES1162743422"</f>
        <v>FES1162743422</v>
      </c>
      <c r="C3226" s="3" t="s">
        <v>2210</v>
      </c>
      <c r="D3226" s="3">
        <v>1</v>
      </c>
      <c r="E3226" s="3" t="str">
        <f>"2170734858"</f>
        <v>2170734858</v>
      </c>
      <c r="F3226" s="3" t="s">
        <v>1657</v>
      </c>
      <c r="G3226" s="3" t="s">
        <v>948</v>
      </c>
      <c r="H3226" s="3" t="s">
        <v>948</v>
      </c>
      <c r="I3226" s="3" t="s">
        <v>33</v>
      </c>
      <c r="J3226" s="3" t="s">
        <v>948</v>
      </c>
      <c r="K3226" s="3"/>
      <c r="L3226" s="3" t="s">
        <v>2293</v>
      </c>
      <c r="M3226" s="3" t="s">
        <v>444</v>
      </c>
      <c r="N3226" s="3" t="s">
        <v>24</v>
      </c>
      <c r="O3226" s="3"/>
    </row>
    <row r="3227" spans="1:15">
      <c r="A3227" s="7" t="s">
        <v>15</v>
      </c>
      <c r="B3227" s="12" t="str">
        <f>"FES1162743417"</f>
        <v>FES1162743417</v>
      </c>
      <c r="C3227" s="7" t="s">
        <v>2210</v>
      </c>
      <c r="D3227" s="7">
        <v>1</v>
      </c>
      <c r="E3227" s="7" t="str">
        <f>"2170734854"</f>
        <v>2170734854</v>
      </c>
      <c r="F3227" s="7" t="s">
        <v>17</v>
      </c>
      <c r="G3227" s="7" t="s">
        <v>18</v>
      </c>
      <c r="H3227" s="7" t="s">
        <v>18</v>
      </c>
      <c r="I3227" s="7" t="s">
        <v>168</v>
      </c>
      <c r="J3227" s="7" t="s">
        <v>18</v>
      </c>
      <c r="K3227" s="7" t="s">
        <v>2210</v>
      </c>
      <c r="L3227" s="13">
        <v>0.69166666666666676</v>
      </c>
      <c r="M3227" s="7" t="s">
        <v>2289</v>
      </c>
      <c r="N3227" s="7" t="s">
        <v>2282</v>
      </c>
      <c r="O3227" s="7"/>
    </row>
    <row r="3228" spans="1:15">
      <c r="A3228" s="3" t="s">
        <v>15</v>
      </c>
      <c r="B3228" s="2" t="str">
        <f>"FES1162743494"</f>
        <v>FES1162743494</v>
      </c>
      <c r="C3228" s="3" t="s">
        <v>2210</v>
      </c>
      <c r="D3228" s="3">
        <v>1</v>
      </c>
      <c r="E3228" s="3" t="str">
        <f>"21707349216"</f>
        <v>21707349216</v>
      </c>
      <c r="F3228" s="3" t="s">
        <v>17</v>
      </c>
      <c r="G3228" s="3" t="s">
        <v>18</v>
      </c>
      <c r="H3228" s="3" t="s">
        <v>70</v>
      </c>
      <c r="I3228" s="3" t="s">
        <v>507</v>
      </c>
      <c r="J3228" s="3" t="s">
        <v>71</v>
      </c>
      <c r="K3228" s="3" t="s">
        <v>2280</v>
      </c>
      <c r="L3228" s="4">
        <v>0.33333333333333331</v>
      </c>
      <c r="M3228" s="3" t="s">
        <v>2294</v>
      </c>
      <c r="N3228" s="3" t="s">
        <v>24</v>
      </c>
      <c r="O3228" s="3"/>
    </row>
    <row r="3229" spans="1:15">
      <c r="A3229" s="3" t="s">
        <v>15</v>
      </c>
      <c r="B3229" s="2" t="str">
        <f>"FES1162743482"</f>
        <v>FES1162743482</v>
      </c>
      <c r="C3229" s="3" t="s">
        <v>2210</v>
      </c>
      <c r="D3229" s="3">
        <v>1</v>
      </c>
      <c r="E3229" s="3" t="str">
        <f>"2170734907"</f>
        <v>2170734907</v>
      </c>
      <c r="F3229" s="3" t="s">
        <v>17</v>
      </c>
      <c r="G3229" s="3" t="s">
        <v>18</v>
      </c>
      <c r="H3229" s="3" t="s">
        <v>70</v>
      </c>
      <c r="I3229" s="3" t="s">
        <v>507</v>
      </c>
      <c r="J3229" s="3" t="s">
        <v>71</v>
      </c>
      <c r="K3229" s="3" t="s">
        <v>2280</v>
      </c>
      <c r="L3229" s="4">
        <v>0.33402777777777781</v>
      </c>
      <c r="M3229" s="3" t="s">
        <v>1565</v>
      </c>
      <c r="N3229" s="3" t="s">
        <v>24</v>
      </c>
      <c r="O3229" s="3"/>
    </row>
    <row r="3230" spans="1:15">
      <c r="A3230" s="3" t="s">
        <v>15</v>
      </c>
      <c r="B3230" s="2" t="str">
        <f>"FES1162743486"</f>
        <v>FES1162743486</v>
      </c>
      <c r="C3230" s="3" t="s">
        <v>2210</v>
      </c>
      <c r="D3230" s="3">
        <v>1</v>
      </c>
      <c r="E3230" s="3" t="str">
        <f>"2170734916"</f>
        <v>2170734916</v>
      </c>
      <c r="F3230" s="3" t="s">
        <v>17</v>
      </c>
      <c r="G3230" s="3" t="s">
        <v>18</v>
      </c>
      <c r="H3230" s="3" t="s">
        <v>534</v>
      </c>
      <c r="I3230" s="3" t="s">
        <v>596</v>
      </c>
      <c r="J3230" s="3" t="s">
        <v>535</v>
      </c>
      <c r="K3230" s="3" t="s">
        <v>2280</v>
      </c>
      <c r="L3230" s="4">
        <v>0.32847222222222222</v>
      </c>
      <c r="M3230" s="3" t="s">
        <v>2258</v>
      </c>
      <c r="N3230" s="3" t="s">
        <v>24</v>
      </c>
      <c r="O3230" s="3"/>
    </row>
    <row r="3231" spans="1:15">
      <c r="A3231" s="3" t="s">
        <v>15</v>
      </c>
      <c r="B3231" s="2" t="str">
        <f>"FES1162743519"</f>
        <v>FES1162743519</v>
      </c>
      <c r="C3231" s="3" t="s">
        <v>2210</v>
      </c>
      <c r="D3231" s="3">
        <v>1</v>
      </c>
      <c r="E3231" s="3" t="str">
        <f>"2170732835"</f>
        <v>2170732835</v>
      </c>
      <c r="F3231" s="3" t="s">
        <v>17</v>
      </c>
      <c r="G3231" s="3" t="s">
        <v>18</v>
      </c>
      <c r="H3231" s="3" t="s">
        <v>66</v>
      </c>
      <c r="I3231" s="3" t="s">
        <v>67</v>
      </c>
      <c r="J3231" s="3" t="s">
        <v>67</v>
      </c>
      <c r="K3231" s="3" t="s">
        <v>2280</v>
      </c>
      <c r="L3231" s="4">
        <v>0.20416666666666669</v>
      </c>
      <c r="M3231" s="3" t="s">
        <v>2295</v>
      </c>
      <c r="N3231" s="3" t="s">
        <v>24</v>
      </c>
      <c r="O3231" s="3"/>
    </row>
    <row r="3232" spans="1:15">
      <c r="A3232" s="3" t="s">
        <v>15</v>
      </c>
      <c r="B3232" s="2" t="str">
        <f>"FES1162743599"</f>
        <v>FES1162743599</v>
      </c>
      <c r="C3232" s="3" t="s">
        <v>2210</v>
      </c>
      <c r="D3232" s="3">
        <v>1</v>
      </c>
      <c r="E3232" s="3" t="str">
        <f>"2170734998"</f>
        <v>2170734998</v>
      </c>
      <c r="F3232" s="3" t="s">
        <v>17</v>
      </c>
      <c r="G3232" s="3" t="s">
        <v>18</v>
      </c>
      <c r="H3232" s="3" t="s">
        <v>70</v>
      </c>
      <c r="I3232" s="3" t="s">
        <v>71</v>
      </c>
      <c r="J3232" s="3" t="s">
        <v>71</v>
      </c>
      <c r="K3232" s="3" t="s">
        <v>2280</v>
      </c>
      <c r="L3232" s="4">
        <v>0.3347222222222222</v>
      </c>
      <c r="M3232" s="3" t="s">
        <v>2296</v>
      </c>
      <c r="N3232" s="3" t="s">
        <v>24</v>
      </c>
      <c r="O3232" s="3"/>
    </row>
    <row r="3233" spans="1:15">
      <c r="A3233" s="3" t="s">
        <v>15</v>
      </c>
      <c r="B3233" s="2" t="str">
        <f>"FES1162743469"</f>
        <v>FES1162743469</v>
      </c>
      <c r="C3233" s="3" t="s">
        <v>2210</v>
      </c>
      <c r="D3233" s="3">
        <v>1</v>
      </c>
      <c r="E3233" s="3" t="str">
        <f>"2170733931"</f>
        <v>2170733931</v>
      </c>
      <c r="F3233" s="3" t="s">
        <v>17</v>
      </c>
      <c r="G3233" s="3" t="s">
        <v>18</v>
      </c>
      <c r="H3233" s="3" t="s">
        <v>36</v>
      </c>
      <c r="I3233" s="3" t="s">
        <v>330</v>
      </c>
      <c r="J3233" s="3" t="s">
        <v>37</v>
      </c>
      <c r="K3233" s="3" t="s">
        <v>2280</v>
      </c>
      <c r="L3233" s="4">
        <v>0.31111111111111112</v>
      </c>
      <c r="M3233" s="3" t="s">
        <v>1050</v>
      </c>
      <c r="N3233" s="3" t="s">
        <v>24</v>
      </c>
      <c r="O3233" s="3"/>
    </row>
    <row r="3234" spans="1:15">
      <c r="A3234" s="3" t="s">
        <v>15</v>
      </c>
      <c r="B3234" s="2" t="str">
        <f>"FES1162743462"</f>
        <v>FES1162743462</v>
      </c>
      <c r="C3234" s="3" t="s">
        <v>2210</v>
      </c>
      <c r="D3234" s="3">
        <v>1</v>
      </c>
      <c r="E3234" s="3" t="str">
        <f>"2170732988"</f>
        <v>2170732988</v>
      </c>
      <c r="F3234" s="3" t="s">
        <v>17</v>
      </c>
      <c r="G3234" s="3" t="s">
        <v>18</v>
      </c>
      <c r="H3234" s="3" t="s">
        <v>36</v>
      </c>
      <c r="I3234" s="3" t="s">
        <v>37</v>
      </c>
      <c r="J3234" s="3" t="s">
        <v>37</v>
      </c>
      <c r="K3234" s="3" t="s">
        <v>2280</v>
      </c>
      <c r="L3234" s="4">
        <v>0.30902777777777779</v>
      </c>
      <c r="M3234" s="3" t="s">
        <v>2297</v>
      </c>
      <c r="N3234" s="3" t="s">
        <v>24</v>
      </c>
      <c r="O3234" s="3"/>
    </row>
    <row r="3235" spans="1:15">
      <c r="A3235" s="3" t="s">
        <v>15</v>
      </c>
      <c r="B3235" s="2" t="str">
        <f>"FES1162743560"</f>
        <v>FES1162743560</v>
      </c>
      <c r="C3235" s="3" t="s">
        <v>2210</v>
      </c>
      <c r="D3235" s="3">
        <v>1</v>
      </c>
      <c r="E3235" s="3" t="str">
        <f>"2170734581"</f>
        <v>2170734581</v>
      </c>
      <c r="F3235" s="3" t="s">
        <v>17</v>
      </c>
      <c r="G3235" s="3" t="s">
        <v>18</v>
      </c>
      <c r="H3235" s="3" t="s">
        <v>18</v>
      </c>
      <c r="I3235" s="3" t="s">
        <v>33</v>
      </c>
      <c r="J3235" s="3" t="s">
        <v>18</v>
      </c>
      <c r="K3235" s="3" t="s">
        <v>2210</v>
      </c>
      <c r="L3235" s="4">
        <v>0.69166666666666676</v>
      </c>
      <c r="M3235" s="3" t="s">
        <v>2298</v>
      </c>
      <c r="N3235" s="3" t="s">
        <v>24</v>
      </c>
      <c r="O3235" s="3"/>
    </row>
    <row r="3236" spans="1:15">
      <c r="A3236" s="3" t="s">
        <v>15</v>
      </c>
      <c r="B3236" s="2" t="str">
        <f>"FES1162743456"</f>
        <v>FES1162743456</v>
      </c>
      <c r="C3236" s="3" t="s">
        <v>2210</v>
      </c>
      <c r="D3236" s="3">
        <v>1</v>
      </c>
      <c r="E3236" s="3" t="str">
        <f>"21707320000"</f>
        <v>21707320000</v>
      </c>
      <c r="F3236" s="3" t="s">
        <v>17</v>
      </c>
      <c r="G3236" s="3" t="s">
        <v>18</v>
      </c>
      <c r="H3236" s="3" t="s">
        <v>100</v>
      </c>
      <c r="I3236" s="3" t="s">
        <v>155</v>
      </c>
      <c r="J3236" s="3" t="s">
        <v>101</v>
      </c>
      <c r="K3236" s="3" t="s">
        <v>2280</v>
      </c>
      <c r="L3236" s="4">
        <v>0.22152777777777777</v>
      </c>
      <c r="M3236" s="3" t="s">
        <v>2299</v>
      </c>
      <c r="N3236" s="3" t="s">
        <v>24</v>
      </c>
      <c r="O3236" s="3"/>
    </row>
    <row r="3237" spans="1:15">
      <c r="A3237" s="3" t="s">
        <v>15</v>
      </c>
      <c r="B3237" s="2" t="str">
        <f>"FES1162743453"</f>
        <v>FES1162743453</v>
      </c>
      <c r="C3237" s="3" t="s">
        <v>2210</v>
      </c>
      <c r="D3237" s="3">
        <v>1</v>
      </c>
      <c r="E3237" s="3" t="str">
        <f>"2170731844"</f>
        <v>2170731844</v>
      </c>
      <c r="F3237" s="3" t="s">
        <v>17</v>
      </c>
      <c r="G3237" s="3" t="s">
        <v>18</v>
      </c>
      <c r="H3237" s="3" t="s">
        <v>18</v>
      </c>
      <c r="I3237" s="3" t="s">
        <v>33</v>
      </c>
      <c r="J3237" s="3" t="s">
        <v>18</v>
      </c>
      <c r="K3237" s="3" t="s">
        <v>2210</v>
      </c>
      <c r="L3237" s="4">
        <v>0.69166666666666676</v>
      </c>
      <c r="M3237" s="3" t="s">
        <v>730</v>
      </c>
      <c r="N3237" s="3" t="s">
        <v>24</v>
      </c>
      <c r="O3237" s="3"/>
    </row>
    <row r="3238" spans="1:15">
      <c r="A3238" s="3" t="s">
        <v>15</v>
      </c>
      <c r="B3238" s="2" t="str">
        <f>"FES1162743535"</f>
        <v>FES1162743535</v>
      </c>
      <c r="C3238" s="3" t="s">
        <v>2210</v>
      </c>
      <c r="D3238" s="3">
        <v>1</v>
      </c>
      <c r="E3238" s="3" t="str">
        <f>"2170733620"</f>
        <v>2170733620</v>
      </c>
      <c r="F3238" s="3" t="s">
        <v>17</v>
      </c>
      <c r="G3238" s="3" t="s">
        <v>18</v>
      </c>
      <c r="H3238" s="3" t="s">
        <v>66</v>
      </c>
      <c r="I3238" s="3" t="s">
        <v>67</v>
      </c>
      <c r="J3238" s="3" t="s">
        <v>67</v>
      </c>
      <c r="K3238" s="3" t="s">
        <v>2280</v>
      </c>
      <c r="L3238" s="4">
        <v>0.20555555555555557</v>
      </c>
      <c r="M3238" s="3" t="s">
        <v>268</v>
      </c>
      <c r="N3238" s="3" t="s">
        <v>24</v>
      </c>
      <c r="O3238" s="3"/>
    </row>
    <row r="3239" spans="1:15">
      <c r="A3239" s="3" t="s">
        <v>15</v>
      </c>
      <c r="B3239" s="2" t="str">
        <f>"FES1162743454"</f>
        <v>FES1162743454</v>
      </c>
      <c r="C3239" s="3" t="s">
        <v>2210</v>
      </c>
      <c r="D3239" s="3">
        <v>1</v>
      </c>
      <c r="E3239" s="3" t="str">
        <f>"2170731849"</f>
        <v>2170731849</v>
      </c>
      <c r="F3239" s="3" t="s">
        <v>17</v>
      </c>
      <c r="G3239" s="3" t="s">
        <v>18</v>
      </c>
      <c r="H3239" s="3" t="s">
        <v>66</v>
      </c>
      <c r="I3239" s="3" t="s">
        <v>67</v>
      </c>
      <c r="J3239" s="3" t="s">
        <v>67</v>
      </c>
      <c r="K3239" s="3" t="s">
        <v>2280</v>
      </c>
      <c r="L3239" s="4">
        <v>0.20555555555555557</v>
      </c>
      <c r="M3239" s="3" t="s">
        <v>2300</v>
      </c>
      <c r="N3239" s="3" t="s">
        <v>24</v>
      </c>
      <c r="O3239" s="3"/>
    </row>
    <row r="3240" spans="1:15">
      <c r="A3240" s="3" t="s">
        <v>15</v>
      </c>
      <c r="B3240" s="2" t="str">
        <f>"FES1162743481"</f>
        <v>FES1162743481</v>
      </c>
      <c r="C3240" s="3" t="s">
        <v>2210</v>
      </c>
      <c r="D3240" s="3">
        <v>1</v>
      </c>
      <c r="E3240" s="3" t="str">
        <f>"2170734905"</f>
        <v>2170734905</v>
      </c>
      <c r="F3240" s="3" t="s">
        <v>17</v>
      </c>
      <c r="G3240" s="3" t="s">
        <v>18</v>
      </c>
      <c r="H3240" s="3" t="s">
        <v>36</v>
      </c>
      <c r="I3240" s="3" t="s">
        <v>174</v>
      </c>
      <c r="J3240" s="3" t="s">
        <v>37</v>
      </c>
      <c r="K3240" s="3" t="s">
        <v>2280</v>
      </c>
      <c r="L3240" s="4">
        <v>0.30902777777777779</v>
      </c>
      <c r="M3240" s="3" t="s">
        <v>2301</v>
      </c>
      <c r="N3240" s="3" t="s">
        <v>24</v>
      </c>
      <c r="O3240" s="3"/>
    </row>
    <row r="3241" spans="1:15">
      <c r="A3241" s="7" t="s">
        <v>15</v>
      </c>
      <c r="B3241" s="12" t="str">
        <f>"FES1162743534"</f>
        <v>FES1162743534</v>
      </c>
      <c r="C3241" s="7" t="s">
        <v>2210</v>
      </c>
      <c r="D3241" s="7">
        <v>1</v>
      </c>
      <c r="E3241" s="7" t="str">
        <f>"2170733614"</f>
        <v>2170733614</v>
      </c>
      <c r="F3241" s="7" t="s">
        <v>17</v>
      </c>
      <c r="G3241" s="7" t="s">
        <v>18</v>
      </c>
      <c r="H3241" s="7" t="s">
        <v>36</v>
      </c>
      <c r="I3241" s="7" t="s">
        <v>37</v>
      </c>
      <c r="J3241" s="7" t="s">
        <v>37</v>
      </c>
      <c r="K3241" s="7" t="s">
        <v>2280</v>
      </c>
      <c r="L3241" s="13">
        <v>0.30972222222222223</v>
      </c>
      <c r="M3241" s="7" t="s">
        <v>448</v>
      </c>
      <c r="N3241" s="7" t="s">
        <v>2282</v>
      </c>
      <c r="O3241" s="7"/>
    </row>
    <row r="3242" spans="1:15">
      <c r="A3242" s="3" t="s">
        <v>15</v>
      </c>
      <c r="B3242" s="2" t="str">
        <f>"FES1162743576"</f>
        <v>FES1162743576</v>
      </c>
      <c r="C3242" s="3" t="s">
        <v>2210</v>
      </c>
      <c r="D3242" s="3">
        <v>1</v>
      </c>
      <c r="E3242" s="3" t="str">
        <f>"2170734967"</f>
        <v>2170734967</v>
      </c>
      <c r="F3242" s="3" t="s">
        <v>17</v>
      </c>
      <c r="G3242" s="3" t="s">
        <v>18</v>
      </c>
      <c r="H3242" s="3" t="s">
        <v>18</v>
      </c>
      <c r="I3242" s="3" t="s">
        <v>29</v>
      </c>
      <c r="J3242" s="3" t="s">
        <v>18</v>
      </c>
      <c r="K3242" s="3" t="s">
        <v>2210</v>
      </c>
      <c r="L3242" s="4">
        <v>0.69166666666666676</v>
      </c>
      <c r="M3242" s="3" t="s">
        <v>2302</v>
      </c>
      <c r="N3242" s="3" t="s">
        <v>24</v>
      </c>
      <c r="O3242" s="3"/>
    </row>
    <row r="3243" spans="1:15">
      <c r="A3243" s="3" t="s">
        <v>15</v>
      </c>
      <c r="B3243" s="2" t="str">
        <f>"FES1162743461"</f>
        <v>FES1162743461</v>
      </c>
      <c r="C3243" s="3" t="s">
        <v>2210</v>
      </c>
      <c r="D3243" s="3">
        <v>1</v>
      </c>
      <c r="E3243" s="3" t="str">
        <f>"2170732682"</f>
        <v>2170732682</v>
      </c>
      <c r="F3243" s="3" t="s">
        <v>17</v>
      </c>
      <c r="G3243" s="3" t="s">
        <v>18</v>
      </c>
      <c r="H3243" s="3" t="s">
        <v>19</v>
      </c>
      <c r="I3243" s="3" t="s">
        <v>277</v>
      </c>
      <c r="J3243" s="3" t="s">
        <v>20</v>
      </c>
      <c r="K3243" s="3" t="s">
        <v>2280</v>
      </c>
      <c r="L3243" s="4">
        <v>0.24930555555555556</v>
      </c>
      <c r="M3243" s="3" t="s">
        <v>2303</v>
      </c>
      <c r="N3243" s="3" t="s">
        <v>24</v>
      </c>
      <c r="O3243" s="3"/>
    </row>
    <row r="3244" spans="1:15">
      <c r="A3244" s="3" t="s">
        <v>15</v>
      </c>
      <c r="B3244" s="2" t="str">
        <f>"FES1162743533"</f>
        <v>FES1162743533</v>
      </c>
      <c r="C3244" s="3" t="s">
        <v>2210</v>
      </c>
      <c r="D3244" s="3">
        <v>1</v>
      </c>
      <c r="E3244" s="3" t="str">
        <f>"2170733601"</f>
        <v>2170733601</v>
      </c>
      <c r="F3244" s="3" t="s">
        <v>17</v>
      </c>
      <c r="G3244" s="3" t="s">
        <v>18</v>
      </c>
      <c r="H3244" s="3" t="s">
        <v>19</v>
      </c>
      <c r="I3244" s="3" t="s">
        <v>51</v>
      </c>
      <c r="J3244" s="3" t="s">
        <v>20</v>
      </c>
      <c r="K3244" s="3" t="s">
        <v>2280</v>
      </c>
      <c r="L3244" s="4">
        <v>0.25</v>
      </c>
      <c r="M3244" s="3" t="s">
        <v>1754</v>
      </c>
      <c r="N3244" s="3" t="s">
        <v>24</v>
      </c>
      <c r="O3244" s="3"/>
    </row>
    <row r="3245" spans="1:15">
      <c r="A3245" s="7" t="s">
        <v>15</v>
      </c>
      <c r="B3245" s="12" t="str">
        <f>"FES1162743574"</f>
        <v>FES1162743574</v>
      </c>
      <c r="C3245" s="7" t="s">
        <v>2210</v>
      </c>
      <c r="D3245" s="7">
        <v>1</v>
      </c>
      <c r="E3245" s="7" t="str">
        <f>"2170734964"</f>
        <v>2170734964</v>
      </c>
      <c r="F3245" s="7" t="s">
        <v>17</v>
      </c>
      <c r="G3245" s="7" t="s">
        <v>18</v>
      </c>
      <c r="H3245" s="7" t="s">
        <v>19</v>
      </c>
      <c r="I3245" s="7" t="s">
        <v>20</v>
      </c>
      <c r="J3245" s="7" t="s">
        <v>20</v>
      </c>
      <c r="K3245" s="7" t="s">
        <v>2280</v>
      </c>
      <c r="L3245" s="13">
        <v>0.24861111111111112</v>
      </c>
      <c r="M3245" s="7" t="s">
        <v>448</v>
      </c>
      <c r="N3245" s="7" t="s">
        <v>2282</v>
      </c>
      <c r="O3245" s="7"/>
    </row>
    <row r="3246" spans="1:15">
      <c r="A3246" s="3" t="s">
        <v>15</v>
      </c>
      <c r="B3246" s="2" t="str">
        <f>"FES1162743507"</f>
        <v>FES1162743507</v>
      </c>
      <c r="C3246" s="3" t="s">
        <v>2210</v>
      </c>
      <c r="D3246" s="3">
        <v>1</v>
      </c>
      <c r="E3246" s="3" t="str">
        <f>"2170734941"</f>
        <v>2170734941</v>
      </c>
      <c r="F3246" s="3" t="s">
        <v>17</v>
      </c>
      <c r="G3246" s="3" t="s">
        <v>18</v>
      </c>
      <c r="H3246" s="3" t="s">
        <v>70</v>
      </c>
      <c r="I3246" s="3" t="s">
        <v>71</v>
      </c>
      <c r="J3246" s="3" t="s">
        <v>71</v>
      </c>
      <c r="K3246" s="3" t="s">
        <v>2280</v>
      </c>
      <c r="L3246" s="4">
        <v>0.33333333333333331</v>
      </c>
      <c r="M3246" s="3" t="s">
        <v>2304</v>
      </c>
      <c r="N3246" s="3" t="s">
        <v>24</v>
      </c>
      <c r="O3246" s="3"/>
    </row>
    <row r="3247" spans="1:15">
      <c r="A3247" s="3" t="s">
        <v>15</v>
      </c>
      <c r="B3247" s="2" t="str">
        <f>"FES1162743561"</f>
        <v>FES1162743561</v>
      </c>
      <c r="C3247" s="3" t="s">
        <v>2210</v>
      </c>
      <c r="D3247" s="3">
        <v>1</v>
      </c>
      <c r="E3247" s="3" t="str">
        <f>"2170734618"</f>
        <v>2170734618</v>
      </c>
      <c r="F3247" s="3" t="s">
        <v>17</v>
      </c>
      <c r="G3247" s="3" t="s">
        <v>18</v>
      </c>
      <c r="H3247" s="3" t="s">
        <v>19</v>
      </c>
      <c r="I3247" s="3" t="s">
        <v>20</v>
      </c>
      <c r="J3247" s="3" t="s">
        <v>20</v>
      </c>
      <c r="K3247" s="3" t="s">
        <v>2280</v>
      </c>
      <c r="L3247" s="4">
        <v>0.24861111111111112</v>
      </c>
      <c r="M3247" s="3" t="s">
        <v>1632</v>
      </c>
      <c r="N3247" s="3" t="s">
        <v>24</v>
      </c>
      <c r="O3247" s="3"/>
    </row>
    <row r="3248" spans="1:15">
      <c r="A3248" s="3" t="s">
        <v>15</v>
      </c>
      <c r="B3248" s="2" t="str">
        <f>"FES1162743626"</f>
        <v>FES1162743626</v>
      </c>
      <c r="C3248" s="3" t="s">
        <v>2210</v>
      </c>
      <c r="D3248" s="3">
        <v>1</v>
      </c>
      <c r="E3248" s="3" t="str">
        <f>"217073045206"</f>
        <v>217073045206</v>
      </c>
      <c r="F3248" s="3" t="s">
        <v>17</v>
      </c>
      <c r="G3248" s="3" t="s">
        <v>18</v>
      </c>
      <c r="H3248" s="3" t="s">
        <v>46</v>
      </c>
      <c r="I3248" s="3" t="s">
        <v>1073</v>
      </c>
      <c r="J3248" s="3" t="s">
        <v>47</v>
      </c>
      <c r="K3248" s="3" t="s">
        <v>2280</v>
      </c>
      <c r="L3248" s="4">
        <v>0.32222222222222224</v>
      </c>
      <c r="M3248" s="3" t="s">
        <v>2305</v>
      </c>
      <c r="N3248" s="3" t="s">
        <v>24</v>
      </c>
      <c r="O3248" s="3"/>
    </row>
    <row r="3249" spans="1:15">
      <c r="A3249" s="3" t="s">
        <v>15</v>
      </c>
      <c r="B3249" s="2" t="str">
        <f>"FES1162743499"</f>
        <v>FES1162743499</v>
      </c>
      <c r="C3249" s="3" t="s">
        <v>2210</v>
      </c>
      <c r="D3249" s="3">
        <v>1</v>
      </c>
      <c r="E3249" s="3" t="str">
        <f>"2170734933"</f>
        <v>2170734933</v>
      </c>
      <c r="F3249" s="3" t="s">
        <v>17</v>
      </c>
      <c r="G3249" s="3" t="s">
        <v>18</v>
      </c>
      <c r="H3249" s="3" t="s">
        <v>19</v>
      </c>
      <c r="I3249" s="3" t="s">
        <v>86</v>
      </c>
      <c r="J3249" s="3" t="s">
        <v>20</v>
      </c>
      <c r="K3249" s="3" t="s">
        <v>2280</v>
      </c>
      <c r="L3249" s="4">
        <v>0.24930555555555556</v>
      </c>
      <c r="M3249" s="3" t="s">
        <v>2306</v>
      </c>
      <c r="N3249" s="3" t="s">
        <v>24</v>
      </c>
      <c r="O3249" s="3"/>
    </row>
    <row r="3250" spans="1:15">
      <c r="A3250" s="3" t="s">
        <v>15</v>
      </c>
      <c r="B3250" s="2" t="str">
        <f>"FES1162743591"</f>
        <v>FES1162743591</v>
      </c>
      <c r="C3250" s="3" t="s">
        <v>2210</v>
      </c>
      <c r="D3250" s="3">
        <v>1</v>
      </c>
      <c r="E3250" s="3" t="str">
        <f>"2170734988"</f>
        <v>2170734988</v>
      </c>
      <c r="F3250" s="3" t="s">
        <v>17</v>
      </c>
      <c r="G3250" s="3" t="s">
        <v>18</v>
      </c>
      <c r="H3250" s="3" t="s">
        <v>19</v>
      </c>
      <c r="I3250" s="3" t="s">
        <v>20</v>
      </c>
      <c r="J3250" s="3" t="s">
        <v>20</v>
      </c>
      <c r="K3250" s="3" t="s">
        <v>2280</v>
      </c>
      <c r="L3250" s="4">
        <v>0.24861111111111112</v>
      </c>
      <c r="M3250" s="3" t="s">
        <v>182</v>
      </c>
      <c r="N3250" s="3" t="s">
        <v>24</v>
      </c>
      <c r="O3250" s="3"/>
    </row>
    <row r="3251" spans="1:15">
      <c r="A3251" s="7" t="s">
        <v>15</v>
      </c>
      <c r="B3251" s="12" t="str">
        <f>"FES1162743480"</f>
        <v>FES1162743480</v>
      </c>
      <c r="C3251" s="7" t="s">
        <v>2210</v>
      </c>
      <c r="D3251" s="7">
        <v>1</v>
      </c>
      <c r="E3251" s="7" t="str">
        <f>"2170734900"</f>
        <v>2170734900</v>
      </c>
      <c r="F3251" s="7" t="s">
        <v>17</v>
      </c>
      <c r="G3251" s="7" t="s">
        <v>18</v>
      </c>
      <c r="H3251" s="7" t="s">
        <v>19</v>
      </c>
      <c r="I3251" s="7" t="s">
        <v>20</v>
      </c>
      <c r="J3251" s="7" t="s">
        <v>20</v>
      </c>
      <c r="K3251" s="7" t="s">
        <v>2280</v>
      </c>
      <c r="L3251" s="13">
        <v>0.25</v>
      </c>
      <c r="M3251" s="7" t="s">
        <v>448</v>
      </c>
      <c r="N3251" s="7" t="s">
        <v>2282</v>
      </c>
      <c r="O3251" s="7"/>
    </row>
    <row r="3252" spans="1:15">
      <c r="A3252" s="3" t="s">
        <v>15</v>
      </c>
      <c r="B3252" s="2" t="str">
        <f>"FES1162743553"</f>
        <v>FES1162743553</v>
      </c>
      <c r="C3252" s="3" t="s">
        <v>2210</v>
      </c>
      <c r="D3252" s="3">
        <v>1</v>
      </c>
      <c r="E3252" s="3" t="str">
        <f>"2170734182"</f>
        <v>2170734182</v>
      </c>
      <c r="F3252" s="3" t="s">
        <v>17</v>
      </c>
      <c r="G3252" s="3" t="s">
        <v>18</v>
      </c>
      <c r="H3252" s="3" t="s">
        <v>19</v>
      </c>
      <c r="I3252" s="3" t="s">
        <v>236</v>
      </c>
      <c r="J3252" s="3" t="s">
        <v>20</v>
      </c>
      <c r="K3252" s="3" t="s">
        <v>2280</v>
      </c>
      <c r="L3252" s="4">
        <v>0.24861111111111112</v>
      </c>
      <c r="M3252" s="3" t="s">
        <v>2307</v>
      </c>
      <c r="N3252" s="3" t="s">
        <v>24</v>
      </c>
      <c r="O3252" s="3"/>
    </row>
    <row r="3253" spans="1:15">
      <c r="A3253" s="3" t="s">
        <v>15</v>
      </c>
      <c r="B3253" s="2" t="str">
        <f>"FES1162743544"</f>
        <v>FES1162743544</v>
      </c>
      <c r="C3253" s="3" t="s">
        <v>2210</v>
      </c>
      <c r="D3253" s="3">
        <v>1</v>
      </c>
      <c r="E3253" s="3" t="str">
        <f>"2170733839"</f>
        <v>2170733839</v>
      </c>
      <c r="F3253" s="3" t="s">
        <v>17</v>
      </c>
      <c r="G3253" s="3" t="s">
        <v>18</v>
      </c>
      <c r="H3253" s="3" t="s">
        <v>19</v>
      </c>
      <c r="I3253" s="3" t="s">
        <v>20</v>
      </c>
      <c r="J3253" s="3" t="s">
        <v>20</v>
      </c>
      <c r="K3253" s="3" t="s">
        <v>2280</v>
      </c>
      <c r="L3253" s="4">
        <v>0.24791666666666667</v>
      </c>
      <c r="M3253" s="3" t="s">
        <v>2009</v>
      </c>
      <c r="N3253" s="3" t="s">
        <v>24</v>
      </c>
      <c r="O3253" s="3"/>
    </row>
    <row r="3254" spans="1:15">
      <c r="A3254" s="3" t="s">
        <v>15</v>
      </c>
      <c r="B3254" s="2" t="str">
        <f>"FES1162743520"</f>
        <v>FES1162743520</v>
      </c>
      <c r="C3254" s="3" t="s">
        <v>2210</v>
      </c>
      <c r="D3254" s="3">
        <v>1</v>
      </c>
      <c r="E3254" s="3" t="str">
        <f>"2170732910"</f>
        <v>2170732910</v>
      </c>
      <c r="F3254" s="3" t="s">
        <v>17</v>
      </c>
      <c r="G3254" s="3" t="s">
        <v>18</v>
      </c>
      <c r="H3254" s="3" t="s">
        <v>19</v>
      </c>
      <c r="I3254" s="3" t="s">
        <v>20</v>
      </c>
      <c r="J3254" s="3" t="s">
        <v>20</v>
      </c>
      <c r="K3254" s="3" t="s">
        <v>2280</v>
      </c>
      <c r="L3254" s="4">
        <v>0.24930555555555556</v>
      </c>
      <c r="M3254" s="3" t="s">
        <v>59</v>
      </c>
      <c r="N3254" s="3" t="s">
        <v>24</v>
      </c>
      <c r="O3254" s="3"/>
    </row>
    <row r="3255" spans="1:15">
      <c r="A3255" s="3" t="s">
        <v>15</v>
      </c>
      <c r="B3255" s="2" t="str">
        <f>"FES1162743446"</f>
        <v>FES1162743446</v>
      </c>
      <c r="C3255" s="3" t="s">
        <v>2210</v>
      </c>
      <c r="D3255" s="3">
        <v>1</v>
      </c>
      <c r="E3255" s="3" t="str">
        <f>"2170734486"</f>
        <v>2170734486</v>
      </c>
      <c r="F3255" s="3" t="s">
        <v>17</v>
      </c>
      <c r="G3255" s="3" t="s">
        <v>18</v>
      </c>
      <c r="H3255" s="3" t="s">
        <v>100</v>
      </c>
      <c r="I3255" s="3" t="s">
        <v>101</v>
      </c>
      <c r="J3255" s="3" t="s">
        <v>101</v>
      </c>
      <c r="K3255" s="3" t="s">
        <v>2280</v>
      </c>
      <c r="L3255" s="4">
        <v>0.22291666666666665</v>
      </c>
      <c r="M3255" s="3" t="s">
        <v>132</v>
      </c>
      <c r="N3255" s="3" t="s">
        <v>24</v>
      </c>
      <c r="O3255" s="3"/>
    </row>
    <row r="3256" spans="1:15">
      <c r="A3256" s="3" t="s">
        <v>15</v>
      </c>
      <c r="B3256" s="2" t="str">
        <f>"FES1162743611"</f>
        <v>FES1162743611</v>
      </c>
      <c r="C3256" s="3" t="s">
        <v>2210</v>
      </c>
      <c r="D3256" s="3">
        <v>1</v>
      </c>
      <c r="E3256" s="3" t="str">
        <f>"2170734890"</f>
        <v>2170734890</v>
      </c>
      <c r="F3256" s="3" t="s">
        <v>17</v>
      </c>
      <c r="G3256" s="3" t="s">
        <v>18</v>
      </c>
      <c r="H3256" s="3" t="s">
        <v>100</v>
      </c>
      <c r="I3256" s="3" t="s">
        <v>101</v>
      </c>
      <c r="J3256" s="3" t="s">
        <v>101</v>
      </c>
      <c r="K3256" s="3" t="s">
        <v>2280</v>
      </c>
      <c r="L3256" s="4">
        <v>0.21875</v>
      </c>
      <c r="M3256" s="3" t="s">
        <v>132</v>
      </c>
      <c r="N3256" s="3" t="s">
        <v>24</v>
      </c>
      <c r="O3256" s="3"/>
    </row>
    <row r="3257" spans="1:15">
      <c r="A3257" s="3" t="s">
        <v>15</v>
      </c>
      <c r="B3257" s="2" t="str">
        <f>"FES1162743441"</f>
        <v>FES1162743441</v>
      </c>
      <c r="C3257" s="3" t="s">
        <v>2210</v>
      </c>
      <c r="D3257" s="3">
        <v>1</v>
      </c>
      <c r="E3257" s="3" t="str">
        <f>"2170734878"</f>
        <v>2170734878</v>
      </c>
      <c r="F3257" s="3" t="s">
        <v>17</v>
      </c>
      <c r="G3257" s="3" t="s">
        <v>18</v>
      </c>
      <c r="H3257" s="3" t="s">
        <v>100</v>
      </c>
      <c r="I3257" s="3" t="s">
        <v>101</v>
      </c>
      <c r="J3257" s="3" t="s">
        <v>101</v>
      </c>
      <c r="K3257" s="3" t="s">
        <v>2280</v>
      </c>
      <c r="L3257" s="4">
        <v>0.22569444444444445</v>
      </c>
      <c r="M3257" s="3" t="s">
        <v>901</v>
      </c>
      <c r="N3257" s="3" t="s">
        <v>24</v>
      </c>
      <c r="O3257" s="3"/>
    </row>
    <row r="3258" spans="1:15">
      <c r="A3258" s="3" t="s">
        <v>15</v>
      </c>
      <c r="B3258" s="2" t="str">
        <f>"FES1162743484"</f>
        <v>FES1162743484</v>
      </c>
      <c r="C3258" s="3" t="s">
        <v>2210</v>
      </c>
      <c r="D3258" s="3">
        <v>1</v>
      </c>
      <c r="E3258" s="3" t="str">
        <f>"2170734912"</f>
        <v>2170734912</v>
      </c>
      <c r="F3258" s="3" t="s">
        <v>17</v>
      </c>
      <c r="G3258" s="3" t="s">
        <v>18</v>
      </c>
      <c r="H3258" s="3" t="s">
        <v>70</v>
      </c>
      <c r="I3258" s="3" t="s">
        <v>71</v>
      </c>
      <c r="J3258" s="3" t="s">
        <v>71</v>
      </c>
      <c r="K3258" s="3" t="s">
        <v>2280</v>
      </c>
      <c r="L3258" s="4">
        <v>0.33333333333333331</v>
      </c>
      <c r="M3258" s="3" t="s">
        <v>1265</v>
      </c>
      <c r="N3258" s="3" t="s">
        <v>24</v>
      </c>
      <c r="O3258" s="3"/>
    </row>
    <row r="3259" spans="1:15">
      <c r="A3259" s="3" t="s">
        <v>15</v>
      </c>
      <c r="B3259" s="2" t="str">
        <f>"FES1162743600"</f>
        <v>FES1162743600</v>
      </c>
      <c r="C3259" s="3" t="s">
        <v>2210</v>
      </c>
      <c r="D3259" s="3">
        <v>1</v>
      </c>
      <c r="E3259" s="3" t="str">
        <f>"217073499"</f>
        <v>217073499</v>
      </c>
      <c r="F3259" s="3" t="s">
        <v>17</v>
      </c>
      <c r="G3259" s="3" t="s">
        <v>18</v>
      </c>
      <c r="H3259" s="3" t="s">
        <v>19</v>
      </c>
      <c r="I3259" s="3" t="s">
        <v>20</v>
      </c>
      <c r="J3259" s="3" t="s">
        <v>20</v>
      </c>
      <c r="K3259" s="3" t="s">
        <v>2280</v>
      </c>
      <c r="L3259" s="4">
        <v>0.22847222222222222</v>
      </c>
      <c r="M3259" s="3" t="s">
        <v>57</v>
      </c>
      <c r="N3259" s="3" t="s">
        <v>24</v>
      </c>
      <c r="O3259" s="3"/>
    </row>
    <row r="3260" spans="1:15">
      <c r="A3260" s="3" t="s">
        <v>15</v>
      </c>
      <c r="B3260" s="2" t="str">
        <f>"FES1162743448"</f>
        <v>FES1162743448</v>
      </c>
      <c r="C3260" s="3" t="s">
        <v>2210</v>
      </c>
      <c r="D3260" s="3">
        <v>1</v>
      </c>
      <c r="E3260" s="3" t="str">
        <f>"21707364863"</f>
        <v>21707364863</v>
      </c>
      <c r="F3260" s="3" t="s">
        <v>528</v>
      </c>
      <c r="G3260" s="3" t="s">
        <v>948</v>
      </c>
      <c r="H3260" s="3" t="s">
        <v>19</v>
      </c>
      <c r="I3260" s="3" t="s">
        <v>890</v>
      </c>
      <c r="J3260" s="3" t="s">
        <v>20</v>
      </c>
      <c r="K3260" s="3" t="s">
        <v>2280</v>
      </c>
      <c r="L3260" s="4">
        <v>0.33749999999999997</v>
      </c>
      <c r="M3260" s="3" t="s">
        <v>2308</v>
      </c>
      <c r="N3260" s="3" t="s">
        <v>24</v>
      </c>
      <c r="O3260" s="3"/>
    </row>
    <row r="3261" spans="1:15">
      <c r="A3261" s="3" t="s">
        <v>15</v>
      </c>
      <c r="B3261" s="2" t="str">
        <f>"FES1162743564"</f>
        <v>FES1162743564</v>
      </c>
      <c r="C3261" s="3" t="s">
        <v>2210</v>
      </c>
      <c r="D3261" s="3">
        <v>1</v>
      </c>
      <c r="E3261" s="3" t="str">
        <f>"2170734790"</f>
        <v>2170734790</v>
      </c>
      <c r="F3261" s="3" t="s">
        <v>17</v>
      </c>
      <c r="G3261" s="3" t="s">
        <v>18</v>
      </c>
      <c r="H3261" s="3" t="s">
        <v>100</v>
      </c>
      <c r="I3261" s="3" t="s">
        <v>101</v>
      </c>
      <c r="J3261" s="3" t="s">
        <v>101</v>
      </c>
      <c r="K3261" s="3" t="s">
        <v>2280</v>
      </c>
      <c r="L3261" s="4">
        <v>0.22847222222222222</v>
      </c>
      <c r="M3261" s="3" t="s">
        <v>160</v>
      </c>
      <c r="N3261" s="3" t="s">
        <v>24</v>
      </c>
      <c r="O3261" s="3"/>
    </row>
    <row r="3262" spans="1:15">
      <c r="A3262" s="3" t="s">
        <v>15</v>
      </c>
      <c r="B3262" s="2" t="str">
        <f>"FES1162743567"</f>
        <v>FES1162743567</v>
      </c>
      <c r="C3262" s="3" t="s">
        <v>2210</v>
      </c>
      <c r="D3262" s="3">
        <v>1</v>
      </c>
      <c r="E3262" s="3" t="str">
        <f>"2170734953"</f>
        <v>2170734953</v>
      </c>
      <c r="F3262" s="3" t="s">
        <v>528</v>
      </c>
      <c r="G3262" s="3" t="s">
        <v>948</v>
      </c>
      <c r="H3262" s="3" t="s">
        <v>1271</v>
      </c>
      <c r="I3262" s="3" t="s">
        <v>206</v>
      </c>
      <c r="J3262" s="3"/>
      <c r="K3262" s="3" t="s">
        <v>2280</v>
      </c>
      <c r="L3262" s="4">
        <v>0.4375</v>
      </c>
      <c r="M3262" s="3" t="s">
        <v>867</v>
      </c>
      <c r="N3262" s="3" t="s">
        <v>24</v>
      </c>
      <c r="O3262" s="3"/>
    </row>
    <row r="3263" spans="1:15">
      <c r="A3263" s="3" t="s">
        <v>15</v>
      </c>
      <c r="B3263" s="2" t="str">
        <f>"FES1162743601"</f>
        <v>FES1162743601</v>
      </c>
      <c r="C3263" s="3" t="s">
        <v>2210</v>
      </c>
      <c r="D3263" s="3">
        <v>1</v>
      </c>
      <c r="E3263" s="3" t="str">
        <f>"2170735001"</f>
        <v>2170735001</v>
      </c>
      <c r="F3263" s="3" t="s">
        <v>17</v>
      </c>
      <c r="G3263" s="3" t="s">
        <v>18</v>
      </c>
      <c r="H3263" s="3" t="s">
        <v>18</v>
      </c>
      <c r="I3263" s="3" t="s">
        <v>171</v>
      </c>
      <c r="J3263" s="3" t="s">
        <v>18</v>
      </c>
      <c r="K3263" s="3" t="s">
        <v>2210</v>
      </c>
      <c r="L3263" s="4">
        <v>0.69166666666666676</v>
      </c>
      <c r="M3263" s="3" t="s">
        <v>1261</v>
      </c>
      <c r="N3263" s="3" t="s">
        <v>24</v>
      </c>
      <c r="O3263" s="3"/>
    </row>
    <row r="3264" spans="1:15">
      <c r="A3264" s="3" t="s">
        <v>15</v>
      </c>
      <c r="B3264" s="2" t="str">
        <f>"FES1162743509"</f>
        <v>FES1162743509</v>
      </c>
      <c r="C3264" s="3" t="s">
        <v>2210</v>
      </c>
      <c r="D3264" s="3">
        <v>1</v>
      </c>
      <c r="E3264" s="3" t="str">
        <f>"2170734943"</f>
        <v>2170734943</v>
      </c>
      <c r="F3264" s="3" t="s">
        <v>17</v>
      </c>
      <c r="G3264" s="3" t="s">
        <v>18</v>
      </c>
      <c r="H3264" s="3" t="s">
        <v>18</v>
      </c>
      <c r="I3264" s="3" t="s">
        <v>29</v>
      </c>
      <c r="J3264" s="3" t="s">
        <v>18</v>
      </c>
      <c r="K3264" s="3" t="s">
        <v>2210</v>
      </c>
      <c r="L3264" s="4">
        <v>0.69166666666666676</v>
      </c>
      <c r="M3264" s="3" t="s">
        <v>308</v>
      </c>
      <c r="N3264" s="3" t="s">
        <v>24</v>
      </c>
      <c r="O3264" s="3"/>
    </row>
    <row r="3265" spans="1:15">
      <c r="A3265" s="3" t="s">
        <v>15</v>
      </c>
      <c r="B3265" s="2" t="str">
        <f>"FES1162743497"</f>
        <v>FES1162743497</v>
      </c>
      <c r="C3265" s="3" t="s">
        <v>2210</v>
      </c>
      <c r="D3265" s="3">
        <v>1</v>
      </c>
      <c r="E3265" s="3" t="str">
        <f>"217073734927"</f>
        <v>217073734927</v>
      </c>
      <c r="F3265" s="3" t="s">
        <v>17</v>
      </c>
      <c r="G3265" s="3" t="s">
        <v>18</v>
      </c>
      <c r="H3265" s="3" t="s">
        <v>18</v>
      </c>
      <c r="I3265" s="3" t="s">
        <v>29</v>
      </c>
      <c r="J3265" s="3" t="s">
        <v>18</v>
      </c>
      <c r="K3265" s="3" t="s">
        <v>2210</v>
      </c>
      <c r="L3265" s="4">
        <v>0.69166666666666676</v>
      </c>
      <c r="M3265" s="3" t="s">
        <v>1207</v>
      </c>
      <c r="N3265" s="3" t="s">
        <v>24</v>
      </c>
      <c r="O3265" s="3"/>
    </row>
    <row r="3266" spans="1:15">
      <c r="A3266" s="3" t="s">
        <v>15</v>
      </c>
      <c r="B3266" s="2" t="str">
        <f>"FES1162743583"</f>
        <v>FES1162743583</v>
      </c>
      <c r="C3266" s="3" t="s">
        <v>2210</v>
      </c>
      <c r="D3266" s="3">
        <v>1</v>
      </c>
      <c r="E3266" s="3" t="str">
        <f>"2170734974"</f>
        <v>2170734974</v>
      </c>
      <c r="F3266" s="3" t="s">
        <v>17</v>
      </c>
      <c r="G3266" s="3" t="s">
        <v>18</v>
      </c>
      <c r="H3266" s="3" t="s">
        <v>18</v>
      </c>
      <c r="I3266" s="3" t="s">
        <v>151</v>
      </c>
      <c r="J3266" s="3" t="s">
        <v>18</v>
      </c>
      <c r="K3266" s="3" t="s">
        <v>2210</v>
      </c>
      <c r="L3266" s="4">
        <v>0.69166666666666676</v>
      </c>
      <c r="M3266" s="3" t="s">
        <v>2309</v>
      </c>
      <c r="N3266" s="3" t="s">
        <v>24</v>
      </c>
      <c r="O3266" s="3"/>
    </row>
    <row r="3267" spans="1:15">
      <c r="A3267" s="3" t="s">
        <v>15</v>
      </c>
      <c r="B3267" s="2" t="str">
        <f>"FES1162743487"</f>
        <v>FES1162743487</v>
      </c>
      <c r="C3267" s="3" t="s">
        <v>2210</v>
      </c>
      <c r="D3267" s="3">
        <v>1</v>
      </c>
      <c r="E3267" s="3" t="str">
        <f>"2170734920"</f>
        <v>2170734920</v>
      </c>
      <c r="F3267" s="3" t="s">
        <v>17</v>
      </c>
      <c r="G3267" s="3" t="s">
        <v>18</v>
      </c>
      <c r="H3267" s="3" t="s">
        <v>18</v>
      </c>
      <c r="I3267" s="3" t="s">
        <v>180</v>
      </c>
      <c r="J3267" s="3" t="s">
        <v>18</v>
      </c>
      <c r="K3267" s="3" t="s">
        <v>2210</v>
      </c>
      <c r="L3267" s="4">
        <v>0.69166666666666676</v>
      </c>
      <c r="M3267" s="3" t="s">
        <v>1562</v>
      </c>
      <c r="N3267" s="3" t="s">
        <v>24</v>
      </c>
      <c r="O3267" s="3"/>
    </row>
    <row r="3268" spans="1:15">
      <c r="A3268" s="3" t="s">
        <v>15</v>
      </c>
      <c r="B3268" s="2" t="str">
        <f>"FES1162743495"</f>
        <v>FES1162743495</v>
      </c>
      <c r="C3268" s="3" t="s">
        <v>2210</v>
      </c>
      <c r="D3268" s="3">
        <v>1</v>
      </c>
      <c r="E3268" s="3" t="str">
        <f>"2170734928"</f>
        <v>2170734928</v>
      </c>
      <c r="F3268" s="3" t="s">
        <v>17</v>
      </c>
      <c r="G3268" s="3" t="s">
        <v>18</v>
      </c>
      <c r="H3268" s="3" t="s">
        <v>18</v>
      </c>
      <c r="I3268" s="3" t="s">
        <v>171</v>
      </c>
      <c r="J3268" s="3" t="s">
        <v>18</v>
      </c>
      <c r="K3268" s="3" t="s">
        <v>2210</v>
      </c>
      <c r="L3268" s="4">
        <v>0.69166666666666676</v>
      </c>
      <c r="M3268" s="3" t="s">
        <v>2310</v>
      </c>
      <c r="N3268" s="3" t="s">
        <v>24</v>
      </c>
      <c r="O3268" s="3"/>
    </row>
    <row r="3269" spans="1:15">
      <c r="A3269" s="3" t="s">
        <v>15</v>
      </c>
      <c r="B3269" s="2" t="str">
        <f>"FES1162743587"</f>
        <v>FES1162743587</v>
      </c>
      <c r="C3269" s="3" t="s">
        <v>2210</v>
      </c>
      <c r="D3269" s="3">
        <v>1</v>
      </c>
      <c r="E3269" s="3" t="str">
        <f>"2170734981"</f>
        <v>2170734981</v>
      </c>
      <c r="F3269" s="3" t="s">
        <v>17</v>
      </c>
      <c r="G3269" s="3" t="s">
        <v>18</v>
      </c>
      <c r="H3269" s="3" t="s">
        <v>18</v>
      </c>
      <c r="I3269" s="3" t="s">
        <v>33</v>
      </c>
      <c r="J3269" s="3" t="s">
        <v>18</v>
      </c>
      <c r="K3269" s="3" t="s">
        <v>2210</v>
      </c>
      <c r="L3269" s="4">
        <v>0.69166666666666676</v>
      </c>
      <c r="M3269" s="3" t="s">
        <v>2311</v>
      </c>
      <c r="N3269" s="3" t="s">
        <v>24</v>
      </c>
      <c r="O3269" s="3"/>
    </row>
    <row r="3270" spans="1:15">
      <c r="A3270" s="3" t="s">
        <v>15</v>
      </c>
      <c r="B3270" s="2" t="str">
        <f>"FES1162743458"</f>
        <v>FES1162743458</v>
      </c>
      <c r="C3270" s="3" t="s">
        <v>2210</v>
      </c>
      <c r="D3270" s="3">
        <v>1</v>
      </c>
      <c r="E3270" s="3" t="str">
        <f>"2170732195"</f>
        <v>2170732195</v>
      </c>
      <c r="F3270" s="3" t="s">
        <v>17</v>
      </c>
      <c r="G3270" s="3" t="s">
        <v>18</v>
      </c>
      <c r="H3270" s="3" t="s">
        <v>18</v>
      </c>
      <c r="I3270" s="3" t="s">
        <v>222</v>
      </c>
      <c r="J3270" s="3" t="s">
        <v>18</v>
      </c>
      <c r="K3270" s="3" t="s">
        <v>2210</v>
      </c>
      <c r="L3270" s="4">
        <v>0.69166666666666676</v>
      </c>
      <c r="M3270" s="3" t="s">
        <v>2312</v>
      </c>
      <c r="N3270" s="3" t="s">
        <v>24</v>
      </c>
      <c r="O3270" s="3"/>
    </row>
    <row r="3271" spans="1:15">
      <c r="A3271" s="3" t="s">
        <v>15</v>
      </c>
      <c r="B3271" s="2" t="str">
        <f>"FES1162743618"</f>
        <v>FES1162743618</v>
      </c>
      <c r="C3271" s="3" t="s">
        <v>2210</v>
      </c>
      <c r="D3271" s="3">
        <v>1</v>
      </c>
      <c r="E3271" s="3" t="str">
        <f>"2170735016"</f>
        <v>2170735016</v>
      </c>
      <c r="F3271" s="3" t="s">
        <v>17</v>
      </c>
      <c r="G3271" s="3" t="s">
        <v>18</v>
      </c>
      <c r="H3271" s="3" t="s">
        <v>19</v>
      </c>
      <c r="I3271" s="3" t="s">
        <v>20</v>
      </c>
      <c r="J3271" s="3" t="s">
        <v>20</v>
      </c>
      <c r="K3271" s="3" t="s">
        <v>2280</v>
      </c>
      <c r="L3271" s="4">
        <v>0.24513888888888888</v>
      </c>
      <c r="M3271" s="3" t="s">
        <v>57</v>
      </c>
      <c r="N3271" s="3" t="s">
        <v>24</v>
      </c>
      <c r="O3271" s="3"/>
    </row>
    <row r="3272" spans="1:15">
      <c r="A3272" s="7" t="s">
        <v>15</v>
      </c>
      <c r="B3272" s="12" t="str">
        <f>"FES1162743556"</f>
        <v>FES1162743556</v>
      </c>
      <c r="C3272" s="7" t="s">
        <v>2210</v>
      </c>
      <c r="D3272" s="7">
        <v>1</v>
      </c>
      <c r="E3272" s="7" t="str">
        <f>"2170734363"</f>
        <v>2170734363</v>
      </c>
      <c r="F3272" s="7" t="s">
        <v>17</v>
      </c>
      <c r="G3272" s="7" t="s">
        <v>18</v>
      </c>
      <c r="H3272" s="7" t="s">
        <v>18</v>
      </c>
      <c r="I3272" s="7" t="s">
        <v>168</v>
      </c>
      <c r="J3272" s="7" t="s">
        <v>18</v>
      </c>
      <c r="K3272" s="7" t="s">
        <v>2210</v>
      </c>
      <c r="L3272" s="13">
        <v>0.69166666666666676</v>
      </c>
      <c r="M3272" s="7" t="s">
        <v>448</v>
      </c>
      <c r="N3272" s="7" t="s">
        <v>2282</v>
      </c>
      <c r="O3272" s="7"/>
    </row>
    <row r="3273" spans="1:15">
      <c r="A3273" s="3" t="s">
        <v>15</v>
      </c>
      <c r="B3273" s="2" t="str">
        <f>"FES1162743636"</f>
        <v>FES1162743636</v>
      </c>
      <c r="C3273" s="3" t="s">
        <v>2210</v>
      </c>
      <c r="D3273" s="3">
        <v>1</v>
      </c>
      <c r="E3273" s="3" t="str">
        <f>"2170734361"</f>
        <v>2170734361</v>
      </c>
      <c r="F3273" s="3" t="s">
        <v>17</v>
      </c>
      <c r="G3273" s="3" t="s">
        <v>18</v>
      </c>
      <c r="H3273" s="3" t="s">
        <v>18</v>
      </c>
      <c r="I3273" s="3" t="s">
        <v>29</v>
      </c>
      <c r="J3273" s="3" t="s">
        <v>18</v>
      </c>
      <c r="K3273" s="3" t="s">
        <v>2210</v>
      </c>
      <c r="L3273" s="4">
        <v>0.69166666666666676</v>
      </c>
      <c r="M3273" s="3" t="s">
        <v>1557</v>
      </c>
      <c r="N3273" s="3" t="s">
        <v>24</v>
      </c>
      <c r="O3273" s="3"/>
    </row>
    <row r="3274" spans="1:15">
      <c r="A3274" s="7" t="s">
        <v>15</v>
      </c>
      <c r="B3274" s="12" t="str">
        <f>"FES1162743590"</f>
        <v>FES1162743590</v>
      </c>
      <c r="C3274" s="7" t="s">
        <v>2210</v>
      </c>
      <c r="D3274" s="7">
        <v>1</v>
      </c>
      <c r="E3274" s="7" t="str">
        <f>"2170734985"</f>
        <v>2170734985</v>
      </c>
      <c r="F3274" s="7" t="s">
        <v>17</v>
      </c>
      <c r="G3274" s="7" t="s">
        <v>18</v>
      </c>
      <c r="H3274" s="7" t="s">
        <v>18</v>
      </c>
      <c r="I3274" s="7" t="s">
        <v>29</v>
      </c>
      <c r="J3274" s="7" t="s">
        <v>18</v>
      </c>
      <c r="K3274" s="7" t="s">
        <v>2210</v>
      </c>
      <c r="L3274" s="13">
        <v>0.69166666666666676</v>
      </c>
      <c r="M3274" s="7" t="s">
        <v>2289</v>
      </c>
      <c r="N3274" s="7" t="s">
        <v>2282</v>
      </c>
      <c r="O3274" s="7"/>
    </row>
    <row r="3275" spans="1:15">
      <c r="A3275" s="3" t="s">
        <v>15</v>
      </c>
      <c r="B3275" s="2" t="str">
        <f>"FES1162743616"</f>
        <v>FES1162743616</v>
      </c>
      <c r="C3275" s="3" t="s">
        <v>2210</v>
      </c>
      <c r="D3275" s="3">
        <v>1</v>
      </c>
      <c r="E3275" s="3" t="str">
        <f>"2170735014"</f>
        <v>2170735014</v>
      </c>
      <c r="F3275" s="3" t="s">
        <v>17</v>
      </c>
      <c r="G3275" s="3" t="s">
        <v>18</v>
      </c>
      <c r="H3275" s="3" t="s">
        <v>19</v>
      </c>
      <c r="I3275" s="3" t="s">
        <v>20</v>
      </c>
      <c r="J3275" s="3" t="s">
        <v>20</v>
      </c>
      <c r="K3275" s="3" t="s">
        <v>2280</v>
      </c>
      <c r="L3275" s="4">
        <v>0.24861111111111112</v>
      </c>
      <c r="M3275" s="3" t="s">
        <v>57</v>
      </c>
      <c r="N3275" s="3" t="s">
        <v>24</v>
      </c>
      <c r="O3275" s="3"/>
    </row>
    <row r="3276" spans="1:15">
      <c r="A3276" s="3" t="s">
        <v>15</v>
      </c>
      <c r="B3276" s="2" t="str">
        <f>"FES1162743621"</f>
        <v>FES1162743621</v>
      </c>
      <c r="C3276" s="3" t="s">
        <v>2210</v>
      </c>
      <c r="D3276" s="3">
        <v>1</v>
      </c>
      <c r="E3276" s="3" t="str">
        <f>"2170735021"</f>
        <v>2170735021</v>
      </c>
      <c r="F3276" s="3" t="s">
        <v>17</v>
      </c>
      <c r="G3276" s="3" t="s">
        <v>18</v>
      </c>
      <c r="H3276" s="3" t="s">
        <v>19</v>
      </c>
      <c r="I3276" s="3" t="s">
        <v>20</v>
      </c>
      <c r="J3276" s="3" t="s">
        <v>20</v>
      </c>
      <c r="K3276" s="3" t="s">
        <v>2280</v>
      </c>
      <c r="L3276" s="4">
        <v>0.24374999999999999</v>
      </c>
      <c r="M3276" s="3" t="s">
        <v>57</v>
      </c>
      <c r="N3276" s="3" t="s">
        <v>24</v>
      </c>
      <c r="O3276" s="3"/>
    </row>
    <row r="3277" spans="1:15">
      <c r="A3277" s="3" t="s">
        <v>15</v>
      </c>
      <c r="B3277" s="2" t="str">
        <f>"FES1162743638"</f>
        <v>FES1162743638</v>
      </c>
      <c r="C3277" s="3" t="s">
        <v>2210</v>
      </c>
      <c r="D3277" s="3">
        <v>1</v>
      </c>
      <c r="E3277" s="3" t="str">
        <f>"2170735044"</f>
        <v>2170735044</v>
      </c>
      <c r="F3277" s="3" t="s">
        <v>17</v>
      </c>
      <c r="G3277" s="3" t="s">
        <v>18</v>
      </c>
      <c r="H3277" s="3" t="s">
        <v>19</v>
      </c>
      <c r="I3277" s="3" t="s">
        <v>20</v>
      </c>
      <c r="J3277" s="3" t="s">
        <v>20</v>
      </c>
      <c r="K3277" s="3" t="s">
        <v>2280</v>
      </c>
      <c r="L3277" s="4">
        <v>0.24305555555555555</v>
      </c>
      <c r="M3277" s="3" t="s">
        <v>57</v>
      </c>
      <c r="N3277" s="3" t="s">
        <v>24</v>
      </c>
      <c r="O3277" s="3"/>
    </row>
    <row r="3278" spans="1:15">
      <c r="A3278" s="3" t="s">
        <v>15</v>
      </c>
      <c r="B3278" s="2" t="str">
        <f>"FES1162743503"</f>
        <v>FES1162743503</v>
      </c>
      <c r="C3278" s="3" t="s">
        <v>2210</v>
      </c>
      <c r="D3278" s="3">
        <v>1</v>
      </c>
      <c r="E3278" s="3" t="str">
        <f>"2170734935"</f>
        <v>2170734935</v>
      </c>
      <c r="F3278" s="3" t="s">
        <v>17</v>
      </c>
      <c r="G3278" s="3" t="s">
        <v>18</v>
      </c>
      <c r="H3278" s="3" t="s">
        <v>18</v>
      </c>
      <c r="I3278" s="3" t="s">
        <v>29</v>
      </c>
      <c r="J3278" s="3" t="s">
        <v>18</v>
      </c>
      <c r="K3278" s="3" t="s">
        <v>2210</v>
      </c>
      <c r="L3278" s="4">
        <v>0.69166666666666676</v>
      </c>
      <c r="M3278" s="3" t="s">
        <v>308</v>
      </c>
      <c r="N3278" s="3" t="s">
        <v>24</v>
      </c>
      <c r="O3278" s="3"/>
    </row>
    <row r="3279" spans="1:15">
      <c r="A3279" s="3" t="s">
        <v>15</v>
      </c>
      <c r="B3279" s="2" t="str">
        <f>"FES1162743604"</f>
        <v>FES1162743604</v>
      </c>
      <c r="C3279" s="3" t="s">
        <v>2210</v>
      </c>
      <c r="D3279" s="3">
        <v>1</v>
      </c>
      <c r="E3279" s="3" t="str">
        <f>"2170735005"</f>
        <v>2170735005</v>
      </c>
      <c r="F3279" s="3" t="s">
        <v>17</v>
      </c>
      <c r="G3279" s="3" t="s">
        <v>18</v>
      </c>
      <c r="H3279" s="3" t="s">
        <v>19</v>
      </c>
      <c r="I3279" s="3" t="s">
        <v>445</v>
      </c>
      <c r="J3279" s="3" t="s">
        <v>20</v>
      </c>
      <c r="K3279" s="3" t="s">
        <v>2280</v>
      </c>
      <c r="L3279" s="4">
        <v>0.23124999999999998</v>
      </c>
      <c r="M3279" s="3" t="s">
        <v>666</v>
      </c>
      <c r="N3279" s="3" t="s">
        <v>24</v>
      </c>
      <c r="O3279" s="3"/>
    </row>
    <row r="3280" spans="1:15">
      <c r="A3280" s="3" t="s">
        <v>15</v>
      </c>
      <c r="B3280" s="2" t="str">
        <f>"FES1162743468"</f>
        <v>FES1162743468</v>
      </c>
      <c r="C3280" s="3" t="s">
        <v>2210</v>
      </c>
      <c r="D3280" s="3">
        <v>1</v>
      </c>
      <c r="E3280" s="3" t="str">
        <f>"2170733629"</f>
        <v>2170733629</v>
      </c>
      <c r="F3280" s="3" t="s">
        <v>17</v>
      </c>
      <c r="G3280" s="3" t="s">
        <v>18</v>
      </c>
      <c r="H3280" s="3" t="s">
        <v>18</v>
      </c>
      <c r="I3280" s="3" t="s">
        <v>26</v>
      </c>
      <c r="J3280" s="3" t="s">
        <v>18</v>
      </c>
      <c r="K3280" s="3" t="s">
        <v>2210</v>
      </c>
      <c r="L3280" s="4">
        <v>0.69166666666666676</v>
      </c>
      <c r="M3280" s="3" t="s">
        <v>1118</v>
      </c>
      <c r="N3280" s="3" t="s">
        <v>24</v>
      </c>
      <c r="O3280" s="3"/>
    </row>
    <row r="3281" spans="1:15">
      <c r="A3281" s="3" t="s">
        <v>15</v>
      </c>
      <c r="B3281" s="2" t="str">
        <f>"FES1162743585"</f>
        <v>FES1162743585</v>
      </c>
      <c r="C3281" s="3" t="s">
        <v>2210</v>
      </c>
      <c r="D3281" s="3">
        <v>1</v>
      </c>
      <c r="E3281" s="3" t="str">
        <f>"2170734978"</f>
        <v>2170734978</v>
      </c>
      <c r="F3281" s="3" t="s">
        <v>17</v>
      </c>
      <c r="G3281" s="3" t="s">
        <v>18</v>
      </c>
      <c r="H3281" s="3" t="s">
        <v>100</v>
      </c>
      <c r="I3281" s="3" t="s">
        <v>101</v>
      </c>
      <c r="J3281" s="3" t="s">
        <v>101</v>
      </c>
      <c r="K3281" s="3" t="s">
        <v>2280</v>
      </c>
      <c r="L3281" s="4">
        <v>0.22361111111111109</v>
      </c>
      <c r="M3281" s="3" t="s">
        <v>132</v>
      </c>
      <c r="N3281" s="3" t="s">
        <v>24</v>
      </c>
      <c r="O3281" s="3"/>
    </row>
    <row r="3282" spans="1:15">
      <c r="A3282" s="3" t="s">
        <v>15</v>
      </c>
      <c r="B3282" s="2" t="str">
        <f>"FES1162743489"</f>
        <v>FES1162743489</v>
      </c>
      <c r="C3282" s="3" t="s">
        <v>2210</v>
      </c>
      <c r="D3282" s="3">
        <v>1</v>
      </c>
      <c r="E3282" s="3" t="str">
        <f>"2170734922"</f>
        <v>2170734922</v>
      </c>
      <c r="F3282" s="3" t="s">
        <v>17</v>
      </c>
      <c r="G3282" s="3" t="s">
        <v>18</v>
      </c>
      <c r="H3282" s="3" t="s">
        <v>18</v>
      </c>
      <c r="I3282" s="3" t="s">
        <v>29</v>
      </c>
      <c r="J3282" s="3" t="s">
        <v>18</v>
      </c>
      <c r="K3282" s="3" t="s">
        <v>2210</v>
      </c>
      <c r="L3282" s="4">
        <v>0.69166666666666676</v>
      </c>
      <c r="M3282" s="3" t="s">
        <v>897</v>
      </c>
      <c r="N3282" s="3" t="s">
        <v>24</v>
      </c>
      <c r="O3282" s="3"/>
    </row>
    <row r="3283" spans="1:15">
      <c r="A3283" s="3" t="s">
        <v>15</v>
      </c>
      <c r="B3283" s="2" t="str">
        <f>"FES1162743629"</f>
        <v>FES1162743629</v>
      </c>
      <c r="C3283" s="3" t="s">
        <v>2210</v>
      </c>
      <c r="D3283" s="3">
        <v>1</v>
      </c>
      <c r="E3283" s="3" t="str">
        <f>"2170735031"</f>
        <v>2170735031</v>
      </c>
      <c r="F3283" s="3" t="s">
        <v>17</v>
      </c>
      <c r="G3283" s="3" t="s">
        <v>18</v>
      </c>
      <c r="H3283" s="3" t="s">
        <v>19</v>
      </c>
      <c r="I3283" s="3" t="s">
        <v>20</v>
      </c>
      <c r="J3283" s="3" t="s">
        <v>20</v>
      </c>
      <c r="K3283" s="3" t="s">
        <v>2280</v>
      </c>
      <c r="L3283" s="4">
        <v>0.24861111111111112</v>
      </c>
      <c r="M3283" s="3" t="s">
        <v>57</v>
      </c>
      <c r="N3283" s="3" t="s">
        <v>24</v>
      </c>
      <c r="O3283" s="3"/>
    </row>
    <row r="3284" spans="1:15">
      <c r="A3284" s="3" t="s">
        <v>15</v>
      </c>
      <c r="B3284" s="2" t="str">
        <f>"FES1162743606"</f>
        <v>FES1162743606</v>
      </c>
      <c r="C3284" s="3" t="s">
        <v>2210</v>
      </c>
      <c r="D3284" s="3">
        <v>1</v>
      </c>
      <c r="E3284" s="3" t="str">
        <f>"2170735007"</f>
        <v>2170735007</v>
      </c>
      <c r="F3284" s="3" t="s">
        <v>17</v>
      </c>
      <c r="G3284" s="3" t="s">
        <v>18</v>
      </c>
      <c r="H3284" s="3" t="s">
        <v>100</v>
      </c>
      <c r="I3284" s="3" t="s">
        <v>101</v>
      </c>
      <c r="J3284" s="3" t="s">
        <v>101</v>
      </c>
      <c r="K3284" s="3" t="s">
        <v>2280</v>
      </c>
      <c r="L3284" s="4">
        <v>0.22916666666666666</v>
      </c>
      <c r="M3284" s="3" t="s">
        <v>132</v>
      </c>
      <c r="N3284" s="3" t="s">
        <v>24</v>
      </c>
      <c r="O3284" s="3"/>
    </row>
    <row r="3285" spans="1:15">
      <c r="A3285" s="3" t="s">
        <v>15</v>
      </c>
      <c r="B3285" s="2" t="str">
        <f>"FES1162743547"</f>
        <v>FES1162743547</v>
      </c>
      <c r="C3285" s="3" t="s">
        <v>2210</v>
      </c>
      <c r="D3285" s="3">
        <v>1</v>
      </c>
      <c r="E3285" s="3" t="str">
        <f>"2170733970"</f>
        <v>2170733970</v>
      </c>
      <c r="F3285" s="3" t="s">
        <v>17</v>
      </c>
      <c r="G3285" s="3" t="s">
        <v>18</v>
      </c>
      <c r="H3285" s="3" t="s">
        <v>18</v>
      </c>
      <c r="I3285" s="3" t="s">
        <v>171</v>
      </c>
      <c r="J3285" s="3" t="s">
        <v>18</v>
      </c>
      <c r="K3285" s="3" t="s">
        <v>2210</v>
      </c>
      <c r="L3285" s="4">
        <v>0.69166666666666676</v>
      </c>
      <c r="M3285" s="3" t="s">
        <v>1261</v>
      </c>
      <c r="N3285" s="3" t="s">
        <v>24</v>
      </c>
      <c r="O3285" s="3"/>
    </row>
    <row r="3286" spans="1:15">
      <c r="A3286" s="3" t="s">
        <v>15</v>
      </c>
      <c r="B3286" s="2" t="str">
        <f>"FES1162743518"</f>
        <v>FES1162743518</v>
      </c>
      <c r="C3286" s="3" t="s">
        <v>2210</v>
      </c>
      <c r="D3286" s="3">
        <v>1</v>
      </c>
      <c r="E3286" s="3" t="str">
        <f>"2170732816"</f>
        <v>2170732816</v>
      </c>
      <c r="F3286" s="3" t="s">
        <v>17</v>
      </c>
      <c r="G3286" s="3" t="s">
        <v>18</v>
      </c>
      <c r="H3286" s="3" t="s">
        <v>18</v>
      </c>
      <c r="I3286" s="3" t="s">
        <v>453</v>
      </c>
      <c r="J3286" s="3" t="s">
        <v>18</v>
      </c>
      <c r="K3286" s="3" t="s">
        <v>2210</v>
      </c>
      <c r="L3286" s="4">
        <v>0.69166666666666676</v>
      </c>
      <c r="M3286" s="3" t="s">
        <v>1272</v>
      </c>
      <c r="N3286" s="3" t="s">
        <v>24</v>
      </c>
      <c r="O3286" s="3"/>
    </row>
    <row r="3287" spans="1:15">
      <c r="A3287" s="3" t="s">
        <v>15</v>
      </c>
      <c r="B3287" s="2" t="str">
        <f>"FES1162743536"</f>
        <v>FES1162743536</v>
      </c>
      <c r="C3287" s="3" t="s">
        <v>2210</v>
      </c>
      <c r="D3287" s="3">
        <v>1</v>
      </c>
      <c r="E3287" s="3" t="str">
        <f>"2170733635"</f>
        <v>2170733635</v>
      </c>
      <c r="F3287" s="3" t="s">
        <v>17</v>
      </c>
      <c r="G3287" s="3" t="s">
        <v>18</v>
      </c>
      <c r="H3287" s="3" t="s">
        <v>18</v>
      </c>
      <c r="I3287" s="3" t="s">
        <v>29</v>
      </c>
      <c r="J3287" s="3" t="s">
        <v>18</v>
      </c>
      <c r="K3287" s="3" t="s">
        <v>2210</v>
      </c>
      <c r="L3287" s="4">
        <v>0.69166666666666676</v>
      </c>
      <c r="M3287" s="3" t="s">
        <v>286</v>
      </c>
      <c r="N3287" s="3" t="s">
        <v>24</v>
      </c>
      <c r="O3287" s="3"/>
    </row>
    <row r="3288" spans="1:15">
      <c r="A3288" s="3" t="s">
        <v>15</v>
      </c>
      <c r="B3288" s="2" t="str">
        <f>"FES1162743431"</f>
        <v>FES1162743431</v>
      </c>
      <c r="C3288" s="3" t="s">
        <v>2210</v>
      </c>
      <c r="D3288" s="3">
        <v>1</v>
      </c>
      <c r="E3288" s="3" t="str">
        <f>"2170734866"</f>
        <v>2170734866</v>
      </c>
      <c r="F3288" s="3" t="s">
        <v>17</v>
      </c>
      <c r="G3288" s="3" t="s">
        <v>18</v>
      </c>
      <c r="H3288" s="3" t="s">
        <v>18</v>
      </c>
      <c r="I3288" s="3" t="s">
        <v>309</v>
      </c>
      <c r="J3288" s="3" t="s">
        <v>18</v>
      </c>
      <c r="K3288" s="3" t="s">
        <v>2210</v>
      </c>
      <c r="L3288" s="4">
        <v>0.69166666666666676</v>
      </c>
      <c r="M3288" s="3" t="s">
        <v>2313</v>
      </c>
      <c r="N3288" s="3" t="s">
        <v>24</v>
      </c>
      <c r="O3288" s="3"/>
    </row>
    <row r="3289" spans="1:15">
      <c r="A3289" s="3" t="s">
        <v>15</v>
      </c>
      <c r="B3289" s="2" t="str">
        <f>"FES1162743475"</f>
        <v>FES1162743475</v>
      </c>
      <c r="C3289" s="3" t="s">
        <v>2210</v>
      </c>
      <c r="D3289" s="3">
        <v>1</v>
      </c>
      <c r="E3289" s="3" t="str">
        <f>"2170734894"</f>
        <v>2170734894</v>
      </c>
      <c r="F3289" s="3" t="s">
        <v>17</v>
      </c>
      <c r="G3289" s="3" t="s">
        <v>18</v>
      </c>
      <c r="H3289" s="3" t="s">
        <v>18</v>
      </c>
      <c r="I3289" s="3" t="s">
        <v>171</v>
      </c>
      <c r="J3289" s="3" t="s">
        <v>18</v>
      </c>
      <c r="K3289" s="3" t="s">
        <v>2210</v>
      </c>
      <c r="L3289" s="4">
        <v>0.69166666666666676</v>
      </c>
      <c r="M3289" s="3" t="s">
        <v>2310</v>
      </c>
      <c r="N3289" s="3" t="s">
        <v>24</v>
      </c>
      <c r="O3289" s="3"/>
    </row>
    <row r="3290" spans="1:15">
      <c r="A3290" s="7" t="s">
        <v>15</v>
      </c>
      <c r="B3290" s="12" t="str">
        <f>"FES1162743589"</f>
        <v>FES1162743589</v>
      </c>
      <c r="C3290" s="7" t="s">
        <v>2210</v>
      </c>
      <c r="D3290" s="7">
        <v>1</v>
      </c>
      <c r="E3290" s="7" t="str">
        <f>"2170734984"</f>
        <v>2170734984</v>
      </c>
      <c r="F3290" s="7" t="s">
        <v>17</v>
      </c>
      <c r="G3290" s="7" t="s">
        <v>18</v>
      </c>
      <c r="H3290" s="7" t="s">
        <v>18</v>
      </c>
      <c r="I3290" s="7" t="s">
        <v>29</v>
      </c>
      <c r="J3290" s="7" t="s">
        <v>18</v>
      </c>
      <c r="K3290" s="7" t="s">
        <v>2210</v>
      </c>
      <c r="L3290" s="13">
        <v>0.69166666666666676</v>
      </c>
      <c r="M3290" s="7" t="s">
        <v>2289</v>
      </c>
      <c r="N3290" s="7" t="s">
        <v>2282</v>
      </c>
      <c r="O3290" s="7"/>
    </row>
    <row r="3291" spans="1:15">
      <c r="A3291" s="3" t="s">
        <v>15</v>
      </c>
      <c r="B3291" s="2" t="str">
        <f>"FES1162743605"</f>
        <v>FES1162743605</v>
      </c>
      <c r="C3291" s="3" t="s">
        <v>2210</v>
      </c>
      <c r="D3291" s="3">
        <v>1</v>
      </c>
      <c r="E3291" s="3" t="str">
        <f>"2170735006"</f>
        <v>2170735006</v>
      </c>
      <c r="F3291" s="3" t="s">
        <v>17</v>
      </c>
      <c r="G3291" s="3" t="s">
        <v>18</v>
      </c>
      <c r="H3291" s="3" t="s">
        <v>537</v>
      </c>
      <c r="I3291" s="3" t="s">
        <v>538</v>
      </c>
      <c r="J3291" s="3" t="s">
        <v>538</v>
      </c>
      <c r="K3291" s="3" t="s">
        <v>2280</v>
      </c>
      <c r="L3291" s="4">
        <v>0.34930555555555554</v>
      </c>
      <c r="M3291" s="3" t="s">
        <v>1024</v>
      </c>
      <c r="N3291" s="3" t="s">
        <v>24</v>
      </c>
      <c r="O3291" s="3"/>
    </row>
    <row r="3292" spans="1:15">
      <c r="A3292" s="3" t="s">
        <v>15</v>
      </c>
      <c r="B3292" s="2" t="str">
        <f>"FES1162743596"</f>
        <v>FES1162743596</v>
      </c>
      <c r="C3292" s="3" t="s">
        <v>2210</v>
      </c>
      <c r="D3292" s="3">
        <v>1</v>
      </c>
      <c r="E3292" s="3" t="str">
        <f>"2170734993"</f>
        <v>2170734993</v>
      </c>
      <c r="F3292" s="3" t="s">
        <v>17</v>
      </c>
      <c r="G3292" s="3" t="s">
        <v>18</v>
      </c>
      <c r="H3292" s="3" t="s">
        <v>100</v>
      </c>
      <c r="I3292" s="3" t="s">
        <v>101</v>
      </c>
      <c r="J3292" s="3" t="s">
        <v>101</v>
      </c>
      <c r="K3292" s="3" t="s">
        <v>2280</v>
      </c>
      <c r="L3292" s="4">
        <v>0.22430555555555556</v>
      </c>
      <c r="M3292" s="3" t="s">
        <v>901</v>
      </c>
      <c r="N3292" s="3" t="s">
        <v>24</v>
      </c>
      <c r="O3292" s="3"/>
    </row>
    <row r="3293" spans="1:15">
      <c r="A3293" s="3" t="s">
        <v>15</v>
      </c>
      <c r="B3293" s="2" t="str">
        <f>"FES1162743568"</f>
        <v>FES1162743568</v>
      </c>
      <c r="C3293" s="3" t="s">
        <v>2210</v>
      </c>
      <c r="D3293" s="3">
        <v>1</v>
      </c>
      <c r="E3293" s="3" t="str">
        <f>"2170734955"</f>
        <v>2170734955</v>
      </c>
      <c r="F3293" s="3" t="s">
        <v>17</v>
      </c>
      <c r="G3293" s="3" t="s">
        <v>18</v>
      </c>
      <c r="H3293" s="3" t="s">
        <v>100</v>
      </c>
      <c r="I3293" s="3" t="s">
        <v>101</v>
      </c>
      <c r="J3293" s="3" t="s">
        <v>101</v>
      </c>
      <c r="K3293" s="3" t="s">
        <v>2280</v>
      </c>
      <c r="L3293" s="4">
        <v>0.22569444444444445</v>
      </c>
      <c r="M3293" s="3" t="s">
        <v>132</v>
      </c>
      <c r="N3293" s="3" t="s">
        <v>24</v>
      </c>
      <c r="O3293" s="3"/>
    </row>
    <row r="3294" spans="1:15">
      <c r="A3294" s="3" t="s">
        <v>15</v>
      </c>
      <c r="B3294" s="2" t="str">
        <f>"FES1162743641"</f>
        <v>FES1162743641</v>
      </c>
      <c r="C3294" s="3" t="s">
        <v>2210</v>
      </c>
      <c r="D3294" s="3">
        <v>1</v>
      </c>
      <c r="E3294" s="3" t="str">
        <f>"21707833931"</f>
        <v>21707833931</v>
      </c>
      <c r="F3294" s="3" t="s">
        <v>17</v>
      </c>
      <c r="G3294" s="3" t="s">
        <v>18</v>
      </c>
      <c r="H3294" s="3" t="s">
        <v>36</v>
      </c>
      <c r="I3294" s="3" t="s">
        <v>330</v>
      </c>
      <c r="J3294" s="3" t="s">
        <v>37</v>
      </c>
      <c r="K3294" s="3" t="s">
        <v>2280</v>
      </c>
      <c r="L3294" s="4">
        <v>0.30902777777777779</v>
      </c>
      <c r="M3294" s="3" t="s">
        <v>1050</v>
      </c>
      <c r="N3294" s="3" t="s">
        <v>24</v>
      </c>
      <c r="O3294" s="3"/>
    </row>
    <row r="3295" spans="1:15">
      <c r="A3295" s="3" t="s">
        <v>15</v>
      </c>
      <c r="B3295" s="2" t="str">
        <f>"FES1162743455"</f>
        <v>FES1162743455</v>
      </c>
      <c r="C3295" s="3" t="s">
        <v>2210</v>
      </c>
      <c r="D3295" s="3">
        <v>1</v>
      </c>
      <c r="E3295" s="3" t="str">
        <f>"2170731399"</f>
        <v>2170731399</v>
      </c>
      <c r="F3295" s="3" t="s">
        <v>17</v>
      </c>
      <c r="G3295" s="3" t="s">
        <v>18</v>
      </c>
      <c r="H3295" s="3" t="s">
        <v>100</v>
      </c>
      <c r="I3295" s="3" t="s">
        <v>101</v>
      </c>
      <c r="J3295" s="3" t="s">
        <v>101</v>
      </c>
      <c r="K3295" s="3" t="s">
        <v>2280</v>
      </c>
      <c r="L3295" s="4">
        <v>0.21666666666666667</v>
      </c>
      <c r="M3295" s="3" t="s">
        <v>922</v>
      </c>
      <c r="N3295" s="3" t="s">
        <v>24</v>
      </c>
      <c r="O3295" s="3"/>
    </row>
    <row r="3296" spans="1:15">
      <c r="A3296" s="3" t="s">
        <v>15</v>
      </c>
      <c r="B3296" s="2" t="str">
        <f>"FES1162743617"</f>
        <v>FES1162743617</v>
      </c>
      <c r="C3296" s="3" t="s">
        <v>2210</v>
      </c>
      <c r="D3296" s="3">
        <v>1</v>
      </c>
      <c r="E3296" s="3" t="str">
        <f>"2170735015"</f>
        <v>2170735015</v>
      </c>
      <c r="F3296" s="3" t="s">
        <v>17</v>
      </c>
      <c r="G3296" s="3" t="s">
        <v>18</v>
      </c>
      <c r="H3296" s="3" t="s">
        <v>100</v>
      </c>
      <c r="I3296" s="3" t="s">
        <v>2314</v>
      </c>
      <c r="J3296" s="3" t="s">
        <v>101</v>
      </c>
      <c r="K3296" s="3" t="s">
        <v>2280</v>
      </c>
      <c r="L3296" s="4">
        <v>0.22916666666666666</v>
      </c>
      <c r="M3296" s="3" t="s">
        <v>2315</v>
      </c>
      <c r="N3296" s="3" t="s">
        <v>24</v>
      </c>
      <c r="O3296" s="3"/>
    </row>
    <row r="3297" spans="1:15">
      <c r="A3297" s="3" t="s">
        <v>15</v>
      </c>
      <c r="B3297" s="2" t="str">
        <f>"FES1162743628"</f>
        <v>FES1162743628</v>
      </c>
      <c r="C3297" s="3" t="s">
        <v>2210</v>
      </c>
      <c r="D3297" s="3">
        <v>1</v>
      </c>
      <c r="E3297" s="3" t="str">
        <f>"2170734727"</f>
        <v>2170734727</v>
      </c>
      <c r="F3297" s="3" t="s">
        <v>17</v>
      </c>
      <c r="G3297" s="3" t="s">
        <v>18</v>
      </c>
      <c r="H3297" s="3" t="s">
        <v>100</v>
      </c>
      <c r="I3297" s="3" t="s">
        <v>101</v>
      </c>
      <c r="J3297" s="3" t="s">
        <v>101</v>
      </c>
      <c r="K3297" s="3" t="s">
        <v>2280</v>
      </c>
      <c r="L3297" s="4">
        <v>0.22500000000000001</v>
      </c>
      <c r="M3297" s="3" t="s">
        <v>922</v>
      </c>
      <c r="N3297" s="3" t="s">
        <v>24</v>
      </c>
      <c r="O3297" s="3"/>
    </row>
    <row r="3298" spans="1:15">
      <c r="A3298" s="3" t="s">
        <v>15</v>
      </c>
      <c r="B3298" s="2" t="str">
        <f>"FES1162743524"</f>
        <v>FES1162743524</v>
      </c>
      <c r="C3298" s="3" t="s">
        <v>2210</v>
      </c>
      <c r="D3298" s="3">
        <v>1</v>
      </c>
      <c r="E3298" s="3" t="str">
        <f>"2170733214"</f>
        <v>2170733214</v>
      </c>
      <c r="F3298" s="3" t="s">
        <v>17</v>
      </c>
      <c r="G3298" s="3" t="s">
        <v>18</v>
      </c>
      <c r="H3298" s="3" t="s">
        <v>18</v>
      </c>
      <c r="I3298" s="3" t="s">
        <v>33</v>
      </c>
      <c r="J3298" s="3" t="s">
        <v>18</v>
      </c>
      <c r="K3298" s="3" t="s">
        <v>2210</v>
      </c>
      <c r="L3298" s="4">
        <v>0.69166666666666676</v>
      </c>
      <c r="M3298" s="3" t="s">
        <v>2311</v>
      </c>
      <c r="N3298" s="3" t="s">
        <v>24</v>
      </c>
      <c r="O3298" s="3"/>
    </row>
    <row r="3299" spans="1:15">
      <c r="A3299" s="3" t="s">
        <v>15</v>
      </c>
      <c r="B3299" s="2" t="str">
        <f>"FES1162743646"</f>
        <v>FES1162743646</v>
      </c>
      <c r="C3299" s="3" t="s">
        <v>2210</v>
      </c>
      <c r="D3299" s="3">
        <v>1</v>
      </c>
      <c r="E3299" s="3" t="str">
        <f>"2170735053"</f>
        <v>2170735053</v>
      </c>
      <c r="F3299" s="3" t="s">
        <v>17</v>
      </c>
      <c r="G3299" s="3" t="s">
        <v>18</v>
      </c>
      <c r="H3299" s="3" t="s">
        <v>36</v>
      </c>
      <c r="I3299" s="3" t="s">
        <v>37</v>
      </c>
      <c r="J3299" s="3" t="s">
        <v>37</v>
      </c>
      <c r="K3299" s="3" t="s">
        <v>2280</v>
      </c>
      <c r="L3299" s="4">
        <v>0.30833333333333335</v>
      </c>
      <c r="M3299" s="3" t="s">
        <v>2316</v>
      </c>
      <c r="N3299" s="3" t="s">
        <v>24</v>
      </c>
      <c r="O3299" s="3"/>
    </row>
    <row r="3300" spans="1:15">
      <c r="A3300" s="3" t="s">
        <v>15</v>
      </c>
      <c r="B3300" s="2" t="str">
        <f>"FES1162743584"</f>
        <v>FES1162743584</v>
      </c>
      <c r="C3300" s="3" t="s">
        <v>2210</v>
      </c>
      <c r="D3300" s="3">
        <v>1</v>
      </c>
      <c r="E3300" s="3" t="str">
        <f>"2170674975"</f>
        <v>2170674975</v>
      </c>
      <c r="F3300" s="3" t="s">
        <v>17</v>
      </c>
      <c r="G3300" s="3" t="s">
        <v>18</v>
      </c>
      <c r="H3300" s="3" t="s">
        <v>100</v>
      </c>
      <c r="I3300" s="3" t="s">
        <v>101</v>
      </c>
      <c r="J3300" s="3" t="s">
        <v>101</v>
      </c>
      <c r="K3300" s="3" t="s">
        <v>2280</v>
      </c>
      <c r="L3300" s="4">
        <v>0.21875</v>
      </c>
      <c r="M3300" s="3" t="s">
        <v>132</v>
      </c>
      <c r="N3300" s="3" t="s">
        <v>24</v>
      </c>
      <c r="O3300" s="3"/>
    </row>
    <row r="3301" spans="1:15">
      <c r="A3301" s="3" t="s">
        <v>15</v>
      </c>
      <c r="B3301" s="2" t="str">
        <f>"FES1162743654"</f>
        <v>FES1162743654</v>
      </c>
      <c r="C3301" s="3" t="s">
        <v>2210</v>
      </c>
      <c r="D3301" s="3">
        <v>1</v>
      </c>
      <c r="E3301" s="3" t="str">
        <f>"2170735062"</f>
        <v>2170735062</v>
      </c>
      <c r="F3301" s="3" t="s">
        <v>17</v>
      </c>
      <c r="G3301" s="3" t="s">
        <v>18</v>
      </c>
      <c r="H3301" s="3" t="s">
        <v>36</v>
      </c>
      <c r="I3301" s="3" t="s">
        <v>37</v>
      </c>
      <c r="J3301" s="3" t="s">
        <v>37</v>
      </c>
      <c r="K3301" s="3" t="s">
        <v>2280</v>
      </c>
      <c r="L3301" s="4">
        <v>0.30902777777777779</v>
      </c>
      <c r="M3301" s="3" t="s">
        <v>276</v>
      </c>
      <c r="N3301" s="3" t="s">
        <v>24</v>
      </c>
      <c r="O3301" s="3"/>
    </row>
    <row r="3302" spans="1:15">
      <c r="A3302" s="3" t="s">
        <v>15</v>
      </c>
      <c r="B3302" s="2" t="str">
        <f>"FES1162743555"</f>
        <v>FES1162743555</v>
      </c>
      <c r="C3302" s="3" t="s">
        <v>2210</v>
      </c>
      <c r="D3302" s="3">
        <v>1</v>
      </c>
      <c r="E3302" s="3" t="str">
        <f>"2170734248"</f>
        <v>2170734248</v>
      </c>
      <c r="F3302" s="3" t="s">
        <v>17</v>
      </c>
      <c r="G3302" s="3" t="s">
        <v>18</v>
      </c>
      <c r="H3302" s="3" t="s">
        <v>18</v>
      </c>
      <c r="I3302" s="3" t="s">
        <v>168</v>
      </c>
      <c r="J3302" s="3" t="s">
        <v>18</v>
      </c>
      <c r="K3302" s="3" t="s">
        <v>2210</v>
      </c>
      <c r="L3302" s="4">
        <v>0.69166666666666676</v>
      </c>
      <c r="M3302" s="3" t="s">
        <v>1876</v>
      </c>
      <c r="N3302" s="3" t="s">
        <v>24</v>
      </c>
      <c r="O3302" s="3"/>
    </row>
    <row r="3303" spans="1:15">
      <c r="A3303" s="3" t="s">
        <v>15</v>
      </c>
      <c r="B3303" s="2" t="str">
        <f>"FES1162743525"</f>
        <v>FES1162743525</v>
      </c>
      <c r="C3303" s="3" t="s">
        <v>2210</v>
      </c>
      <c r="D3303" s="3">
        <v>1</v>
      </c>
      <c r="E3303" s="3" t="str">
        <f>"2170733280"</f>
        <v>2170733280</v>
      </c>
      <c r="F3303" s="3" t="s">
        <v>17</v>
      </c>
      <c r="G3303" s="3" t="s">
        <v>18</v>
      </c>
      <c r="H3303" s="3" t="s">
        <v>18</v>
      </c>
      <c r="I3303" s="3" t="s">
        <v>309</v>
      </c>
      <c r="J3303" s="3" t="s">
        <v>18</v>
      </c>
      <c r="K3303" s="3" t="s">
        <v>2210</v>
      </c>
      <c r="L3303" s="4">
        <v>0.69166666666666676</v>
      </c>
      <c r="M3303" s="3" t="s">
        <v>2317</v>
      </c>
      <c r="N3303" s="3" t="s">
        <v>24</v>
      </c>
      <c r="O3303" s="3"/>
    </row>
    <row r="3304" spans="1:15">
      <c r="A3304" s="3" t="s">
        <v>15</v>
      </c>
      <c r="B3304" s="2" t="str">
        <f>"FES1162743551"</f>
        <v>FES1162743551</v>
      </c>
      <c r="C3304" s="3" t="s">
        <v>2210</v>
      </c>
      <c r="D3304" s="3">
        <v>1</v>
      </c>
      <c r="E3304" s="3" t="str">
        <f>"2170734099"</f>
        <v>2170734099</v>
      </c>
      <c r="F3304" s="3" t="s">
        <v>17</v>
      </c>
      <c r="G3304" s="3" t="s">
        <v>18</v>
      </c>
      <c r="H3304" s="3" t="s">
        <v>18</v>
      </c>
      <c r="I3304" s="3" t="s">
        <v>33</v>
      </c>
      <c r="J3304" s="3" t="s">
        <v>18</v>
      </c>
      <c r="K3304" s="3" t="s">
        <v>2210</v>
      </c>
      <c r="L3304" s="4">
        <v>0.69166666666666676</v>
      </c>
      <c r="M3304" s="3" t="s">
        <v>2318</v>
      </c>
      <c r="N3304" s="3" t="s">
        <v>24</v>
      </c>
      <c r="O3304" s="3"/>
    </row>
    <row r="3305" spans="1:15">
      <c r="A3305" s="3" t="s">
        <v>15</v>
      </c>
      <c r="B3305" s="2" t="str">
        <f>"FES1162743479"</f>
        <v>FES1162743479</v>
      </c>
      <c r="C3305" s="3" t="s">
        <v>2210</v>
      </c>
      <c r="D3305" s="3">
        <v>1</v>
      </c>
      <c r="E3305" s="3" t="str">
        <f>"2170734899"</f>
        <v>2170734899</v>
      </c>
      <c r="F3305" s="3" t="s">
        <v>17</v>
      </c>
      <c r="G3305" s="3" t="s">
        <v>18</v>
      </c>
      <c r="H3305" s="3" t="s">
        <v>18</v>
      </c>
      <c r="I3305" s="3" t="s">
        <v>33</v>
      </c>
      <c r="J3305" s="3" t="s">
        <v>18</v>
      </c>
      <c r="K3305" s="3" t="s">
        <v>2210</v>
      </c>
      <c r="L3305" s="4">
        <v>0.69166666666666676</v>
      </c>
      <c r="M3305" s="3" t="s">
        <v>268</v>
      </c>
      <c r="N3305" s="3" t="s">
        <v>24</v>
      </c>
      <c r="O3305" s="3"/>
    </row>
    <row r="3306" spans="1:15">
      <c r="A3306" s="3" t="s">
        <v>15</v>
      </c>
      <c r="B3306" s="2" t="str">
        <f>"FES1162743521"</f>
        <v>FES1162743521</v>
      </c>
      <c r="C3306" s="3" t="s">
        <v>2210</v>
      </c>
      <c r="D3306" s="3">
        <v>1</v>
      </c>
      <c r="E3306" s="3" t="str">
        <f>"2170732919"</f>
        <v>2170732919</v>
      </c>
      <c r="F3306" s="3" t="s">
        <v>17</v>
      </c>
      <c r="G3306" s="3" t="s">
        <v>18</v>
      </c>
      <c r="H3306" s="3" t="s">
        <v>18</v>
      </c>
      <c r="I3306" s="3" t="s">
        <v>222</v>
      </c>
      <c r="J3306" s="3" t="s">
        <v>18</v>
      </c>
      <c r="K3306" s="3" t="s">
        <v>2210</v>
      </c>
      <c r="L3306" s="4">
        <v>0.69166666666666676</v>
      </c>
      <c r="M3306" s="3" t="s">
        <v>2312</v>
      </c>
      <c r="N3306" s="3" t="s">
        <v>24</v>
      </c>
      <c r="O3306" s="3"/>
    </row>
    <row r="3307" spans="1:15">
      <c r="A3307" s="3" t="s">
        <v>15</v>
      </c>
      <c r="B3307" s="2" t="str">
        <f>"FES1162743488"</f>
        <v>FES1162743488</v>
      </c>
      <c r="C3307" s="3" t="s">
        <v>2210</v>
      </c>
      <c r="D3307" s="3">
        <v>1</v>
      </c>
      <c r="E3307" s="3" t="str">
        <f>"2170734921"</f>
        <v>2170734921</v>
      </c>
      <c r="F3307" s="3" t="s">
        <v>17</v>
      </c>
      <c r="G3307" s="3" t="s">
        <v>18</v>
      </c>
      <c r="H3307" s="3" t="s">
        <v>18</v>
      </c>
      <c r="I3307" s="3" t="s">
        <v>29</v>
      </c>
      <c r="J3307" s="3" t="s">
        <v>18</v>
      </c>
      <c r="K3307" s="3" t="s">
        <v>2210</v>
      </c>
      <c r="L3307" s="4">
        <v>0.69166666666666676</v>
      </c>
      <c r="M3307" s="3" t="s">
        <v>897</v>
      </c>
      <c r="N3307" s="3" t="s">
        <v>24</v>
      </c>
      <c r="O3307" s="3"/>
    </row>
    <row r="3308" spans="1:15">
      <c r="A3308" s="3" t="s">
        <v>15</v>
      </c>
      <c r="B3308" s="2" t="str">
        <f>"FES1162743572"</f>
        <v>FES1162743572</v>
      </c>
      <c r="C3308" s="3" t="s">
        <v>2210</v>
      </c>
      <c r="D3308" s="3">
        <v>1</v>
      </c>
      <c r="E3308" s="3" t="str">
        <f>"2170734960"</f>
        <v>2170734960</v>
      </c>
      <c r="F3308" s="3" t="s">
        <v>17</v>
      </c>
      <c r="G3308" s="3" t="s">
        <v>18</v>
      </c>
      <c r="H3308" s="3" t="s">
        <v>948</v>
      </c>
      <c r="I3308" s="3" t="s">
        <v>291</v>
      </c>
      <c r="J3308" s="3"/>
      <c r="K3308" s="3"/>
      <c r="L3308" s="3" t="s">
        <v>2293</v>
      </c>
      <c r="M3308" s="3" t="s">
        <v>626</v>
      </c>
      <c r="N3308" s="3" t="s">
        <v>24</v>
      </c>
      <c r="O3308" s="3"/>
    </row>
    <row r="3309" spans="1:15">
      <c r="A3309" s="3" t="s">
        <v>15</v>
      </c>
      <c r="B3309" s="2" t="str">
        <f>"FES1162743500"</f>
        <v>FES1162743500</v>
      </c>
      <c r="C3309" s="3" t="s">
        <v>2210</v>
      </c>
      <c r="D3309" s="3">
        <v>1</v>
      </c>
      <c r="E3309" s="3" t="str">
        <f>"2170729017"</f>
        <v>2170729017</v>
      </c>
      <c r="F3309" s="3" t="s">
        <v>17</v>
      </c>
      <c r="G3309" s="3" t="s">
        <v>18</v>
      </c>
      <c r="H3309" s="3" t="s">
        <v>18</v>
      </c>
      <c r="I3309" s="3" t="s">
        <v>163</v>
      </c>
      <c r="J3309" s="3" t="s">
        <v>18</v>
      </c>
      <c r="K3309" s="3" t="s">
        <v>2210</v>
      </c>
      <c r="L3309" s="4">
        <v>0.69166666666666676</v>
      </c>
      <c r="M3309" s="3" t="s">
        <v>165</v>
      </c>
      <c r="N3309" s="3" t="s">
        <v>24</v>
      </c>
      <c r="O3309" s="3"/>
    </row>
    <row r="3310" spans="1:15">
      <c r="A3310" s="3" t="s">
        <v>15</v>
      </c>
      <c r="B3310" s="2" t="str">
        <f>"FES1162743640"</f>
        <v>FES1162743640</v>
      </c>
      <c r="C3310" s="3" t="s">
        <v>2210</v>
      </c>
      <c r="D3310" s="3">
        <v>1</v>
      </c>
      <c r="E3310" s="3" t="str">
        <f>"2170730674"</f>
        <v>2170730674</v>
      </c>
      <c r="F3310" s="3" t="s">
        <v>17</v>
      </c>
      <c r="G3310" s="3" t="s">
        <v>18</v>
      </c>
      <c r="H3310" s="3" t="s">
        <v>36</v>
      </c>
      <c r="I3310" s="3" t="s">
        <v>37</v>
      </c>
      <c r="J3310" s="3" t="s">
        <v>37</v>
      </c>
      <c r="K3310" s="3" t="s">
        <v>2280</v>
      </c>
      <c r="L3310" s="4">
        <v>0.30555555555555552</v>
      </c>
      <c r="M3310" s="3" t="s">
        <v>2319</v>
      </c>
      <c r="N3310" s="3" t="s">
        <v>24</v>
      </c>
      <c r="O3310" s="3"/>
    </row>
    <row r="3311" spans="1:15">
      <c r="A3311" s="3" t="s">
        <v>15</v>
      </c>
      <c r="B3311" s="2" t="str">
        <f>"FES1162743548"</f>
        <v>FES1162743548</v>
      </c>
      <c r="C3311" s="3" t="s">
        <v>2210</v>
      </c>
      <c r="D3311" s="3">
        <v>1</v>
      </c>
      <c r="E3311" s="3" t="str">
        <f>"2170734032"</f>
        <v>2170734032</v>
      </c>
      <c r="F3311" s="3" t="s">
        <v>17</v>
      </c>
      <c r="G3311" s="3" t="s">
        <v>18</v>
      </c>
      <c r="H3311" s="3" t="s">
        <v>18</v>
      </c>
      <c r="I3311" s="3" t="s">
        <v>1205</v>
      </c>
      <c r="J3311" s="3" t="s">
        <v>18</v>
      </c>
      <c r="K3311" s="3" t="s">
        <v>2210</v>
      </c>
      <c r="L3311" s="4">
        <v>0.69166666666666676</v>
      </c>
      <c r="M3311" s="3" t="s">
        <v>2320</v>
      </c>
      <c r="N3311" s="3" t="s">
        <v>24</v>
      </c>
      <c r="O3311" s="3"/>
    </row>
    <row r="3312" spans="1:15">
      <c r="A3312" s="7" t="s">
        <v>15</v>
      </c>
      <c r="B3312" s="12" t="str">
        <f>"FES1162743619"</f>
        <v>FES1162743619</v>
      </c>
      <c r="C3312" s="7" t="s">
        <v>2210</v>
      </c>
      <c r="D3312" s="7">
        <v>1</v>
      </c>
      <c r="E3312" s="7" t="str">
        <f>"2170735019"</f>
        <v>2170735019</v>
      </c>
      <c r="F3312" s="7" t="s">
        <v>528</v>
      </c>
      <c r="G3312" s="7" t="s">
        <v>948</v>
      </c>
      <c r="H3312" s="7" t="s">
        <v>100</v>
      </c>
      <c r="I3312" s="7" t="s">
        <v>2314</v>
      </c>
      <c r="J3312" s="7" t="s">
        <v>101</v>
      </c>
      <c r="K3312" s="7" t="s">
        <v>2280</v>
      </c>
      <c r="L3312" s="13">
        <v>0.22152777777777777</v>
      </c>
      <c r="M3312" s="7" t="s">
        <v>448</v>
      </c>
      <c r="N3312" s="7" t="s">
        <v>2282</v>
      </c>
      <c r="O3312" s="7"/>
    </row>
    <row r="3313" spans="1:15">
      <c r="A3313" s="3" t="s">
        <v>15</v>
      </c>
      <c r="B3313" s="2" t="str">
        <f>"FES1162743615"</f>
        <v>FES1162743615</v>
      </c>
      <c r="C3313" s="3" t="s">
        <v>2210</v>
      </c>
      <c r="D3313" s="3">
        <v>1</v>
      </c>
      <c r="E3313" s="3" t="str">
        <f>"2170735013"</f>
        <v>2170735013</v>
      </c>
      <c r="F3313" s="3" t="s">
        <v>17</v>
      </c>
      <c r="G3313" s="3" t="s">
        <v>18</v>
      </c>
      <c r="H3313" s="3" t="s">
        <v>70</v>
      </c>
      <c r="I3313" s="3" t="s">
        <v>71</v>
      </c>
      <c r="J3313" s="3" t="s">
        <v>71</v>
      </c>
      <c r="K3313" s="3" t="s">
        <v>2280</v>
      </c>
      <c r="L3313" s="4">
        <v>0.3298611111111111</v>
      </c>
      <c r="M3313" s="3" t="s">
        <v>2321</v>
      </c>
      <c r="N3313" s="3" t="s">
        <v>24</v>
      </c>
      <c r="O3313" s="3"/>
    </row>
    <row r="3314" spans="1:15">
      <c r="A3314" s="3" t="s">
        <v>15</v>
      </c>
      <c r="B3314" s="2" t="str">
        <f>"FES1162743477"</f>
        <v>FES1162743477</v>
      </c>
      <c r="C3314" s="3" t="s">
        <v>2210</v>
      </c>
      <c r="D3314" s="3">
        <v>1</v>
      </c>
      <c r="E3314" s="3" t="str">
        <f>"2170734897"</f>
        <v>2170734897</v>
      </c>
      <c r="F3314" s="3" t="s">
        <v>17</v>
      </c>
      <c r="G3314" s="3" t="s">
        <v>18</v>
      </c>
      <c r="H3314" s="3" t="s">
        <v>18</v>
      </c>
      <c r="I3314" s="3" t="s">
        <v>171</v>
      </c>
      <c r="J3314" s="3" t="s">
        <v>18</v>
      </c>
      <c r="K3314" s="3" t="s">
        <v>2210</v>
      </c>
      <c r="L3314" s="4">
        <v>0.69166666666666676</v>
      </c>
      <c r="M3314" s="3" t="s">
        <v>2310</v>
      </c>
      <c r="N3314" s="3" t="s">
        <v>24</v>
      </c>
      <c r="O3314" s="3"/>
    </row>
    <row r="3315" spans="1:15">
      <c r="A3315" s="3" t="s">
        <v>15</v>
      </c>
      <c r="B3315" s="2" t="str">
        <f>"FES1162743559"</f>
        <v>FES1162743559</v>
      </c>
      <c r="C3315" s="3" t="s">
        <v>2210</v>
      </c>
      <c r="D3315" s="3">
        <v>1</v>
      </c>
      <c r="E3315" s="3" t="str">
        <f>"2170734431"</f>
        <v>2170734431</v>
      </c>
      <c r="F3315" s="3" t="s">
        <v>17</v>
      </c>
      <c r="G3315" s="3" t="s">
        <v>18</v>
      </c>
      <c r="H3315" s="3" t="s">
        <v>18</v>
      </c>
      <c r="I3315" s="3" t="s">
        <v>171</v>
      </c>
      <c r="J3315" s="3" t="s">
        <v>18</v>
      </c>
      <c r="K3315" s="3" t="s">
        <v>2210</v>
      </c>
      <c r="L3315" s="4">
        <v>0.69166666666666676</v>
      </c>
      <c r="M3315" s="3" t="s">
        <v>2322</v>
      </c>
      <c r="N3315" s="3" t="s">
        <v>24</v>
      </c>
      <c r="O3315" s="3"/>
    </row>
    <row r="3316" spans="1:15">
      <c r="A3316" s="3" t="s">
        <v>15</v>
      </c>
      <c r="B3316" s="2" t="str">
        <f>"FES1162743647"</f>
        <v>FES1162743647</v>
      </c>
      <c r="C3316" s="3" t="s">
        <v>2210</v>
      </c>
      <c r="D3316" s="3">
        <v>1</v>
      </c>
      <c r="E3316" s="3" t="str">
        <f>"21707350556"</f>
        <v>21707350556</v>
      </c>
      <c r="F3316" s="3" t="s">
        <v>17</v>
      </c>
      <c r="G3316" s="3" t="s">
        <v>18</v>
      </c>
      <c r="H3316" s="3" t="s">
        <v>19</v>
      </c>
      <c r="I3316" s="3" t="s">
        <v>51</v>
      </c>
      <c r="J3316" s="3" t="s">
        <v>20</v>
      </c>
      <c r="K3316" s="3" t="s">
        <v>2280</v>
      </c>
      <c r="L3316" s="4">
        <v>0.22847222222222222</v>
      </c>
      <c r="M3316" s="3" t="s">
        <v>1754</v>
      </c>
      <c r="N3316" s="3" t="s">
        <v>24</v>
      </c>
      <c r="O3316" s="3"/>
    </row>
    <row r="3317" spans="1:15">
      <c r="A3317" s="3" t="s">
        <v>15</v>
      </c>
      <c r="B3317" s="2" t="str">
        <f>"FES1162743642"</f>
        <v>FES1162743642</v>
      </c>
      <c r="C3317" s="3" t="s">
        <v>2210</v>
      </c>
      <c r="D3317" s="3">
        <v>1</v>
      </c>
      <c r="E3317" s="3" t="str">
        <f>"2170734317"</f>
        <v>2170734317</v>
      </c>
      <c r="F3317" s="3" t="s">
        <v>17</v>
      </c>
      <c r="G3317" s="3" t="s">
        <v>18</v>
      </c>
      <c r="H3317" s="3" t="s">
        <v>19</v>
      </c>
      <c r="I3317" s="3" t="s">
        <v>20</v>
      </c>
      <c r="J3317" s="3" t="s">
        <v>20</v>
      </c>
      <c r="K3317" s="3" t="s">
        <v>2280</v>
      </c>
      <c r="L3317" s="4">
        <v>0.22847222222222222</v>
      </c>
      <c r="M3317" s="3" t="s">
        <v>2216</v>
      </c>
      <c r="N3317" s="3" t="s">
        <v>24</v>
      </c>
      <c r="O3317" s="3"/>
    </row>
    <row r="3318" spans="1:15">
      <c r="A3318" s="3" t="s">
        <v>15</v>
      </c>
      <c r="B3318" s="2" t="str">
        <f>"FES1162743622"</f>
        <v>FES1162743622</v>
      </c>
      <c r="C3318" s="3" t="s">
        <v>2210</v>
      </c>
      <c r="D3318" s="3">
        <v>1</v>
      </c>
      <c r="E3318" s="3" t="str">
        <f>"2170735012"</f>
        <v>2170735012</v>
      </c>
      <c r="F3318" s="3" t="s">
        <v>17</v>
      </c>
      <c r="G3318" s="3" t="s">
        <v>18</v>
      </c>
      <c r="H3318" s="3" t="s">
        <v>100</v>
      </c>
      <c r="I3318" s="3" t="s">
        <v>117</v>
      </c>
      <c r="J3318" s="3" t="s">
        <v>101</v>
      </c>
      <c r="K3318" s="3" t="s">
        <v>2280</v>
      </c>
      <c r="L3318" s="4">
        <v>0.22361111111111109</v>
      </c>
      <c r="M3318" s="3" t="s">
        <v>785</v>
      </c>
      <c r="N3318" s="3" t="s">
        <v>24</v>
      </c>
      <c r="O3318" s="3"/>
    </row>
    <row r="3319" spans="1:15">
      <c r="A3319" s="3" t="s">
        <v>15</v>
      </c>
      <c r="B3319" s="2" t="str">
        <f>"FES1162743651"</f>
        <v>FES1162743651</v>
      </c>
      <c r="C3319" s="3" t="s">
        <v>2210</v>
      </c>
      <c r="D3319" s="3">
        <v>1</v>
      </c>
      <c r="E3319" s="3" t="str">
        <f>"2170735060"</f>
        <v>2170735060</v>
      </c>
      <c r="F3319" s="3" t="s">
        <v>17</v>
      </c>
      <c r="G3319" s="3" t="s">
        <v>18</v>
      </c>
      <c r="H3319" s="3" t="s">
        <v>18</v>
      </c>
      <c r="I3319" s="3" t="s">
        <v>222</v>
      </c>
      <c r="J3319" s="3" t="s">
        <v>18</v>
      </c>
      <c r="K3319" s="3" t="s">
        <v>2210</v>
      </c>
      <c r="L3319" s="4">
        <v>0.69166666666666676</v>
      </c>
      <c r="M3319" s="3" t="s">
        <v>2312</v>
      </c>
      <c r="N3319" s="3" t="s">
        <v>24</v>
      </c>
      <c r="O3319" s="3"/>
    </row>
    <row r="3320" spans="1:15">
      <c r="A3320" s="3" t="s">
        <v>15</v>
      </c>
      <c r="B3320" s="2" t="str">
        <f>"FES1162743624"</f>
        <v>FES1162743624</v>
      </c>
      <c r="C3320" s="3" t="s">
        <v>2210</v>
      </c>
      <c r="D3320" s="3">
        <v>1</v>
      </c>
      <c r="E3320" s="3" t="str">
        <f>"2170735023"</f>
        <v>2170735023</v>
      </c>
      <c r="F3320" s="3" t="s">
        <v>17</v>
      </c>
      <c r="G3320" s="3" t="s">
        <v>18</v>
      </c>
      <c r="H3320" s="3" t="s">
        <v>18</v>
      </c>
      <c r="I3320" s="3" t="s">
        <v>338</v>
      </c>
      <c r="J3320" s="3" t="s">
        <v>18</v>
      </c>
      <c r="K3320" s="3" t="s">
        <v>2210</v>
      </c>
      <c r="L3320" s="4">
        <v>0.69166666666666676</v>
      </c>
      <c r="M3320" s="3" t="s">
        <v>2323</v>
      </c>
      <c r="N3320" s="3" t="s">
        <v>24</v>
      </c>
      <c r="O3320" s="3"/>
    </row>
    <row r="3321" spans="1:15">
      <c r="A3321" s="3" t="s">
        <v>15</v>
      </c>
      <c r="B3321" s="2" t="str">
        <f>"FES1162743478"</f>
        <v>FES1162743478</v>
      </c>
      <c r="C3321" s="3" t="s">
        <v>2210</v>
      </c>
      <c r="D3321" s="3">
        <v>1</v>
      </c>
      <c r="E3321" s="3" t="str">
        <f>"2170734898"</f>
        <v>2170734898</v>
      </c>
      <c r="F3321" s="3" t="s">
        <v>17</v>
      </c>
      <c r="G3321" s="3" t="s">
        <v>18</v>
      </c>
      <c r="H3321" s="3" t="s">
        <v>18</v>
      </c>
      <c r="I3321" s="3" t="s">
        <v>171</v>
      </c>
      <c r="J3321" s="3" t="s">
        <v>18</v>
      </c>
      <c r="K3321" s="3" t="s">
        <v>2210</v>
      </c>
      <c r="L3321" s="4">
        <v>0.69166666666666676</v>
      </c>
      <c r="M3321" s="3" t="s">
        <v>2310</v>
      </c>
      <c r="N3321" s="3" t="s">
        <v>24</v>
      </c>
      <c r="O3321" s="3"/>
    </row>
    <row r="3322" spans="1:15">
      <c r="A3322" s="3" t="s">
        <v>15</v>
      </c>
      <c r="B3322" s="2" t="str">
        <f>"FES1162743523"</f>
        <v>FES1162743523</v>
      </c>
      <c r="C3322" s="3" t="s">
        <v>2210</v>
      </c>
      <c r="D3322" s="3">
        <v>1</v>
      </c>
      <c r="E3322" s="3" t="str">
        <f>"2170733184"</f>
        <v>2170733184</v>
      </c>
      <c r="F3322" s="3" t="s">
        <v>17</v>
      </c>
      <c r="G3322" s="3" t="s">
        <v>18</v>
      </c>
      <c r="H3322" s="3" t="s">
        <v>18</v>
      </c>
      <c r="I3322" s="3" t="s">
        <v>151</v>
      </c>
      <c r="J3322" s="3" t="s">
        <v>18</v>
      </c>
      <c r="K3322" s="3" t="s">
        <v>2210</v>
      </c>
      <c r="L3322" s="4">
        <v>0.69166666666666676</v>
      </c>
      <c r="M3322" s="3" t="s">
        <v>1161</v>
      </c>
      <c r="N3322" s="3" t="s">
        <v>24</v>
      </c>
      <c r="O3322" s="3"/>
    </row>
    <row r="3323" spans="1:15">
      <c r="A3323" s="3" t="s">
        <v>15</v>
      </c>
      <c r="B3323" s="2" t="str">
        <f>"FES1162743656"</f>
        <v>FES1162743656</v>
      </c>
      <c r="C3323" s="3" t="s">
        <v>2210</v>
      </c>
      <c r="D3323" s="3">
        <v>1</v>
      </c>
      <c r="E3323" s="3" t="str">
        <f>"2170735064"</f>
        <v>2170735064</v>
      </c>
      <c r="F3323" s="3" t="s">
        <v>17</v>
      </c>
      <c r="G3323" s="3" t="s">
        <v>18</v>
      </c>
      <c r="H3323" s="3" t="s">
        <v>100</v>
      </c>
      <c r="I3323" s="3" t="s">
        <v>101</v>
      </c>
      <c r="J3323" s="3" t="s">
        <v>101</v>
      </c>
      <c r="K3323" s="3" t="s">
        <v>2280</v>
      </c>
      <c r="L3323" s="4">
        <v>0.22708333333333333</v>
      </c>
      <c r="M3323" s="3" t="s">
        <v>132</v>
      </c>
      <c r="N3323" s="3" t="s">
        <v>24</v>
      </c>
      <c r="O3323" s="3"/>
    </row>
    <row r="3324" spans="1:15">
      <c r="A3324" s="3" t="s">
        <v>15</v>
      </c>
      <c r="B3324" s="2" t="str">
        <f>"FES1162743657"</f>
        <v>FES1162743657</v>
      </c>
      <c r="C3324" s="3" t="s">
        <v>2210</v>
      </c>
      <c r="D3324" s="3">
        <v>1</v>
      </c>
      <c r="E3324" s="3" t="str">
        <f>"2170735066"</f>
        <v>2170735066</v>
      </c>
      <c r="F3324" s="3" t="s">
        <v>17</v>
      </c>
      <c r="G3324" s="3" t="s">
        <v>18</v>
      </c>
      <c r="H3324" s="3" t="s">
        <v>19</v>
      </c>
      <c r="I3324" s="3" t="s">
        <v>51</v>
      </c>
      <c r="J3324" s="3" t="s">
        <v>20</v>
      </c>
      <c r="K3324" s="3" t="s">
        <v>2280</v>
      </c>
      <c r="L3324" s="4">
        <v>0.24722222222222223</v>
      </c>
      <c r="M3324" s="3" t="s">
        <v>1132</v>
      </c>
      <c r="N3324" s="3" t="s">
        <v>24</v>
      </c>
      <c r="O3324" s="3"/>
    </row>
    <row r="3325" spans="1:15">
      <c r="A3325" s="3" t="s">
        <v>15</v>
      </c>
      <c r="B3325" s="2" t="str">
        <f>"FES1162743658"</f>
        <v>FES1162743658</v>
      </c>
      <c r="C3325" s="3" t="s">
        <v>2210</v>
      </c>
      <c r="D3325" s="3">
        <v>1</v>
      </c>
      <c r="E3325" s="3" t="str">
        <f>"2170735067"</f>
        <v>2170735067</v>
      </c>
      <c r="F3325" s="3" t="s">
        <v>17</v>
      </c>
      <c r="G3325" s="3" t="s">
        <v>18</v>
      </c>
      <c r="H3325" s="3" t="s">
        <v>19</v>
      </c>
      <c r="I3325" s="3" t="s">
        <v>20</v>
      </c>
      <c r="J3325" s="3" t="s">
        <v>20</v>
      </c>
      <c r="K3325" s="3" t="s">
        <v>2280</v>
      </c>
      <c r="L3325" s="4">
        <v>0.24930555555555556</v>
      </c>
      <c r="M3325" s="3" t="s">
        <v>1129</v>
      </c>
      <c r="N3325" s="3" t="s">
        <v>24</v>
      </c>
      <c r="O3325" s="3"/>
    </row>
    <row r="3326" spans="1:15">
      <c r="A3326" s="3" t="s">
        <v>15</v>
      </c>
      <c r="B3326" s="2" t="str">
        <f>"FES1162743643"</f>
        <v>FES1162743643</v>
      </c>
      <c r="C3326" s="3" t="s">
        <v>2210</v>
      </c>
      <c r="D3326" s="3">
        <v>1</v>
      </c>
      <c r="E3326" s="3" t="str">
        <f>"2170734873"</f>
        <v>2170734873</v>
      </c>
      <c r="F3326" s="3" t="s">
        <v>17</v>
      </c>
      <c r="G3326" s="3" t="s">
        <v>18</v>
      </c>
      <c r="H3326" s="3" t="s">
        <v>19</v>
      </c>
      <c r="I3326" s="3" t="s">
        <v>20</v>
      </c>
      <c r="J3326" s="3" t="s">
        <v>20</v>
      </c>
      <c r="K3326" s="3" t="s">
        <v>2280</v>
      </c>
      <c r="L3326" s="4">
        <v>0.24513888888888888</v>
      </c>
      <c r="M3326" s="3" t="s">
        <v>2324</v>
      </c>
      <c r="N3326" s="3" t="s">
        <v>24</v>
      </c>
      <c r="O3326" s="3"/>
    </row>
    <row r="3327" spans="1:15">
      <c r="A3327" s="3" t="s">
        <v>15</v>
      </c>
      <c r="B3327" s="2" t="str">
        <f>"FES1162743466"</f>
        <v>FES1162743466</v>
      </c>
      <c r="C3327" s="3" t="s">
        <v>2210</v>
      </c>
      <c r="D3327" s="3">
        <v>1</v>
      </c>
      <c r="E3327" s="3" t="str">
        <f>"2170733423"</f>
        <v>2170733423</v>
      </c>
      <c r="F3327" s="3" t="s">
        <v>17</v>
      </c>
      <c r="G3327" s="3" t="s">
        <v>18</v>
      </c>
      <c r="H3327" s="3" t="s">
        <v>18</v>
      </c>
      <c r="I3327" s="3" t="s">
        <v>453</v>
      </c>
      <c r="J3327" s="3" t="s">
        <v>18</v>
      </c>
      <c r="K3327" s="3" t="s">
        <v>2210</v>
      </c>
      <c r="L3327" s="4">
        <v>0.69166666666666676</v>
      </c>
      <c r="M3327" s="3" t="s">
        <v>1272</v>
      </c>
      <c r="N3327" s="3" t="s">
        <v>24</v>
      </c>
      <c r="O3327" s="3"/>
    </row>
    <row r="3328" spans="1:15">
      <c r="A3328" s="3" t="s">
        <v>15</v>
      </c>
      <c r="B3328" s="2" t="str">
        <f>"FES1162743563"</f>
        <v>FES1162743563</v>
      </c>
      <c r="C3328" s="3" t="s">
        <v>2210</v>
      </c>
      <c r="D3328" s="3">
        <v>1</v>
      </c>
      <c r="E3328" s="3" t="str">
        <f>"2170734780"</f>
        <v>2170734780</v>
      </c>
      <c r="F3328" s="3" t="s">
        <v>17</v>
      </c>
      <c r="G3328" s="3" t="s">
        <v>18</v>
      </c>
      <c r="H3328" s="3" t="s">
        <v>18</v>
      </c>
      <c r="I3328" s="3" t="s">
        <v>29</v>
      </c>
      <c r="J3328" s="3" t="s">
        <v>18</v>
      </c>
      <c r="K3328" s="3" t="s">
        <v>2210</v>
      </c>
      <c r="L3328" s="4">
        <v>0.69166666666666676</v>
      </c>
      <c r="M3328" s="3" t="s">
        <v>402</v>
      </c>
      <c r="N3328" s="3" t="s">
        <v>24</v>
      </c>
      <c r="O3328" s="3"/>
    </row>
    <row r="3329" spans="1:15">
      <c r="A3329" s="3" t="s">
        <v>15</v>
      </c>
      <c r="B3329" s="2" t="str">
        <f>"FES1162743569"</f>
        <v>FES1162743569</v>
      </c>
      <c r="C3329" s="3" t="s">
        <v>2210</v>
      </c>
      <c r="D3329" s="3">
        <v>1</v>
      </c>
      <c r="E3329" s="3" t="str">
        <f>"2170734957"</f>
        <v>2170734957</v>
      </c>
      <c r="F3329" s="3" t="s">
        <v>17</v>
      </c>
      <c r="G3329" s="3" t="s">
        <v>18</v>
      </c>
      <c r="H3329" s="3" t="s">
        <v>18</v>
      </c>
      <c r="I3329" s="3" t="s">
        <v>29</v>
      </c>
      <c r="J3329" s="3" t="s">
        <v>18</v>
      </c>
      <c r="K3329" s="3" t="s">
        <v>2210</v>
      </c>
      <c r="L3329" s="4">
        <v>0.69166666666666676</v>
      </c>
      <c r="M3329" s="3" t="s">
        <v>286</v>
      </c>
      <c r="N3329" s="3" t="s">
        <v>24</v>
      </c>
      <c r="O3329" s="3"/>
    </row>
    <row r="3330" spans="1:15">
      <c r="A3330" s="3" t="s">
        <v>15</v>
      </c>
      <c r="B3330" s="2" t="str">
        <f>"FES1162743452"</f>
        <v>FES1162743452</v>
      </c>
      <c r="C3330" s="3" t="s">
        <v>2210</v>
      </c>
      <c r="D3330" s="3">
        <v>1</v>
      </c>
      <c r="E3330" s="3" t="str">
        <f>"2170730720"</f>
        <v>2170730720</v>
      </c>
      <c r="F3330" s="3" t="s">
        <v>17</v>
      </c>
      <c r="G3330" s="3" t="s">
        <v>18</v>
      </c>
      <c r="H3330" s="3" t="s">
        <v>18</v>
      </c>
      <c r="I3330" s="3" t="s">
        <v>171</v>
      </c>
      <c r="J3330" s="3" t="s">
        <v>18</v>
      </c>
      <c r="K3330" s="3" t="s">
        <v>2210</v>
      </c>
      <c r="L3330" s="4">
        <v>0.69166666666666676</v>
      </c>
      <c r="M3330" s="3" t="s">
        <v>1600</v>
      </c>
      <c r="N3330" s="3" t="s">
        <v>24</v>
      </c>
      <c r="O3330" s="3"/>
    </row>
    <row r="3331" spans="1:15">
      <c r="A3331" s="3" t="s">
        <v>15</v>
      </c>
      <c r="B3331" s="2" t="str">
        <f>"FES1162743592"</f>
        <v>FES1162743592</v>
      </c>
      <c r="C3331" s="3" t="s">
        <v>2210</v>
      </c>
      <c r="D3331" s="3">
        <v>1</v>
      </c>
      <c r="E3331" s="3" t="str">
        <f>"2170734989"</f>
        <v>2170734989</v>
      </c>
      <c r="F3331" s="3" t="s">
        <v>17</v>
      </c>
      <c r="G3331" s="3" t="s">
        <v>18</v>
      </c>
      <c r="H3331" s="3" t="s">
        <v>18</v>
      </c>
      <c r="I3331" s="3" t="s">
        <v>151</v>
      </c>
      <c r="J3331" s="3" t="s">
        <v>18</v>
      </c>
      <c r="K3331" s="3" t="s">
        <v>2210</v>
      </c>
      <c r="L3331" s="4">
        <v>0.69166666666666676</v>
      </c>
      <c r="M3331" s="3" t="s">
        <v>2189</v>
      </c>
      <c r="N3331" s="3" t="s">
        <v>24</v>
      </c>
      <c r="O3331" s="3"/>
    </row>
    <row r="3332" spans="1:15">
      <c r="A3332" s="3" t="s">
        <v>15</v>
      </c>
      <c r="B3332" s="2" t="str">
        <f>"FES1162743652"</f>
        <v>FES1162743652</v>
      </c>
      <c r="C3332" s="3" t="s">
        <v>2210</v>
      </c>
      <c r="D3332" s="3">
        <v>1</v>
      </c>
      <c r="E3332" s="3" t="str">
        <f>"2170733110"</f>
        <v>2170733110</v>
      </c>
      <c r="F3332" s="3" t="s">
        <v>17</v>
      </c>
      <c r="G3332" s="3" t="s">
        <v>18</v>
      </c>
      <c r="H3332" s="3" t="s">
        <v>36</v>
      </c>
      <c r="I3332" s="3" t="s">
        <v>37</v>
      </c>
      <c r="J3332" s="3" t="s">
        <v>37</v>
      </c>
      <c r="K3332" s="3" t="s">
        <v>2280</v>
      </c>
      <c r="L3332" s="4">
        <v>0.30555555555555552</v>
      </c>
      <c r="M3332" s="3" t="s">
        <v>2325</v>
      </c>
      <c r="N3332" s="3" t="s">
        <v>24</v>
      </c>
      <c r="O3332" s="3"/>
    </row>
    <row r="3333" spans="1:15">
      <c r="A3333" s="3" t="s">
        <v>15</v>
      </c>
      <c r="B3333" s="2" t="str">
        <f>"FES1162743476"</f>
        <v>FES1162743476</v>
      </c>
      <c r="C3333" s="3" t="s">
        <v>2210</v>
      </c>
      <c r="D3333" s="3">
        <v>1</v>
      </c>
      <c r="E3333" s="3" t="str">
        <f>"2170734896"</f>
        <v>2170734896</v>
      </c>
      <c r="F3333" s="3" t="s">
        <v>17</v>
      </c>
      <c r="G3333" s="3" t="s">
        <v>18</v>
      </c>
      <c r="H3333" s="3" t="s">
        <v>18</v>
      </c>
      <c r="I3333" s="3" t="s">
        <v>171</v>
      </c>
      <c r="J3333" s="3" t="s">
        <v>18</v>
      </c>
      <c r="K3333" s="3" t="s">
        <v>2210</v>
      </c>
      <c r="L3333" s="4">
        <v>0.69166666666666676</v>
      </c>
      <c r="M3333" s="3" t="s">
        <v>2310</v>
      </c>
      <c r="N3333" s="3" t="s">
        <v>24</v>
      </c>
      <c r="O3333" s="3"/>
    </row>
    <row r="3334" spans="1:15">
      <c r="A3334" s="3" t="s">
        <v>15</v>
      </c>
      <c r="B3334" s="2" t="str">
        <f>"FES1162743609"</f>
        <v>FES1162743609</v>
      </c>
      <c r="C3334" s="3" t="s">
        <v>2210</v>
      </c>
      <c r="D3334" s="3">
        <v>1</v>
      </c>
      <c r="E3334" s="3" t="str">
        <f>"2170734122"</f>
        <v>2170734122</v>
      </c>
      <c r="F3334" s="3" t="s">
        <v>17</v>
      </c>
      <c r="G3334" s="3" t="s">
        <v>18</v>
      </c>
      <c r="H3334" s="3" t="s">
        <v>18</v>
      </c>
      <c r="I3334" s="3" t="s">
        <v>151</v>
      </c>
      <c r="J3334" s="3" t="s">
        <v>18</v>
      </c>
      <c r="K3334" s="3" t="s">
        <v>2210</v>
      </c>
      <c r="L3334" s="4">
        <v>0.69166666666666676</v>
      </c>
      <c r="M3334" s="3" t="s">
        <v>2178</v>
      </c>
      <c r="N3334" s="3" t="s">
        <v>24</v>
      </c>
      <c r="O3334" s="3"/>
    </row>
    <row r="3335" spans="1:15">
      <c r="A3335" s="7" t="s">
        <v>15</v>
      </c>
      <c r="B3335" s="12" t="str">
        <f>"FES1162743620"</f>
        <v>FES1162743620</v>
      </c>
      <c r="C3335" s="7" t="s">
        <v>2210</v>
      </c>
      <c r="D3335" s="7">
        <v>1</v>
      </c>
      <c r="E3335" s="7" t="str">
        <f>"2170735020"</f>
        <v>2170735020</v>
      </c>
      <c r="F3335" s="7" t="s">
        <v>17</v>
      </c>
      <c r="G3335" s="7" t="s">
        <v>18</v>
      </c>
      <c r="H3335" s="7" t="s">
        <v>18</v>
      </c>
      <c r="I3335" s="7" t="s">
        <v>168</v>
      </c>
      <c r="J3335" s="7" t="s">
        <v>18</v>
      </c>
      <c r="K3335" s="7" t="s">
        <v>2210</v>
      </c>
      <c r="L3335" s="13">
        <v>0.69166666666666676</v>
      </c>
      <c r="M3335" s="7" t="s">
        <v>2289</v>
      </c>
      <c r="N3335" s="7" t="s">
        <v>2282</v>
      </c>
      <c r="O3335" s="7"/>
    </row>
    <row r="3336" spans="1:15">
      <c r="A3336" s="3" t="s">
        <v>15</v>
      </c>
      <c r="B3336" s="2" t="str">
        <f>"FES1162743614"</f>
        <v>FES1162743614</v>
      </c>
      <c r="C3336" s="3" t="s">
        <v>2210</v>
      </c>
      <c r="D3336" s="3">
        <v>1</v>
      </c>
      <c r="E3336" s="3" t="str">
        <f>"2170735011"</f>
        <v>2170735011</v>
      </c>
      <c r="F3336" s="3" t="s">
        <v>17</v>
      </c>
      <c r="G3336" s="3" t="s">
        <v>18</v>
      </c>
      <c r="H3336" s="3" t="s">
        <v>18</v>
      </c>
      <c r="I3336" s="3" t="s">
        <v>29</v>
      </c>
      <c r="J3336" s="3" t="s">
        <v>18</v>
      </c>
      <c r="K3336" s="3" t="s">
        <v>2210</v>
      </c>
      <c r="L3336" s="4">
        <v>0.69166666666666676</v>
      </c>
      <c r="M3336" s="3" t="s">
        <v>73</v>
      </c>
      <c r="N3336" s="3" t="s">
        <v>24</v>
      </c>
      <c r="O3336" s="3"/>
    </row>
    <row r="3337" spans="1:15">
      <c r="A3337" s="7" t="s">
        <v>15</v>
      </c>
      <c r="B3337" s="12" t="str">
        <f>"FES1162743625"</f>
        <v>FES1162743625</v>
      </c>
      <c r="C3337" s="7" t="s">
        <v>2210</v>
      </c>
      <c r="D3337" s="7">
        <v>1</v>
      </c>
      <c r="E3337" s="7" t="str">
        <f>"2170735024"</f>
        <v>2170735024</v>
      </c>
      <c r="F3337" s="7" t="s">
        <v>17</v>
      </c>
      <c r="G3337" s="7" t="s">
        <v>18</v>
      </c>
      <c r="H3337" s="7" t="s">
        <v>18</v>
      </c>
      <c r="I3337" s="7" t="s">
        <v>168</v>
      </c>
      <c r="J3337" s="7" t="s">
        <v>18</v>
      </c>
      <c r="K3337" s="7" t="s">
        <v>2210</v>
      </c>
      <c r="L3337" s="13">
        <v>0.69166666666666676</v>
      </c>
      <c r="M3337" s="7" t="s">
        <v>448</v>
      </c>
      <c r="N3337" s="7" t="s">
        <v>2282</v>
      </c>
      <c r="O3337" s="7"/>
    </row>
    <row r="3338" spans="1:15">
      <c r="A3338" s="3" t="s">
        <v>15</v>
      </c>
      <c r="B3338" s="2" t="str">
        <f>"FES1162743470"</f>
        <v>FES1162743470</v>
      </c>
      <c r="C3338" s="3" t="s">
        <v>2210</v>
      </c>
      <c r="D3338" s="3">
        <v>1</v>
      </c>
      <c r="E3338" s="3" t="str">
        <f>"2170734003"</f>
        <v>2170734003</v>
      </c>
      <c r="F3338" s="3" t="s">
        <v>17</v>
      </c>
      <c r="G3338" s="3" t="s">
        <v>18</v>
      </c>
      <c r="H3338" s="3" t="s">
        <v>18</v>
      </c>
      <c r="I3338" s="3" t="s">
        <v>29</v>
      </c>
      <c r="J3338" s="3" t="s">
        <v>18</v>
      </c>
      <c r="K3338" s="3" t="s">
        <v>2210</v>
      </c>
      <c r="L3338" s="4">
        <v>0.69166666666666676</v>
      </c>
      <c r="M3338" s="3" t="s">
        <v>2326</v>
      </c>
      <c r="N3338" s="3" t="s">
        <v>24</v>
      </c>
      <c r="O3338" s="3"/>
    </row>
    <row r="3339" spans="1:15">
      <c r="A3339" s="3" t="s">
        <v>15</v>
      </c>
      <c r="B3339" s="2" t="str">
        <f>"FES1162743493"</f>
        <v>FES1162743493</v>
      </c>
      <c r="C3339" s="3" t="s">
        <v>2210</v>
      </c>
      <c r="D3339" s="3">
        <v>1</v>
      </c>
      <c r="E3339" s="3" t="str">
        <f>"2170734917"</f>
        <v>2170734917</v>
      </c>
      <c r="F3339" s="3" t="s">
        <v>528</v>
      </c>
      <c r="G3339" s="3" t="s">
        <v>948</v>
      </c>
      <c r="H3339" s="3" t="s">
        <v>948</v>
      </c>
      <c r="I3339" s="3" t="s">
        <v>171</v>
      </c>
      <c r="J3339" s="3" t="s">
        <v>948</v>
      </c>
      <c r="K3339" s="3" t="s">
        <v>2210</v>
      </c>
      <c r="L3339" s="4">
        <v>0.34652777777777777</v>
      </c>
      <c r="M3339" s="3" t="s">
        <v>28</v>
      </c>
      <c r="N3339" s="3" t="s">
        <v>24</v>
      </c>
      <c r="O3339" s="3"/>
    </row>
    <row r="3340" spans="1:15">
      <c r="A3340" s="7" t="s">
        <v>15</v>
      </c>
      <c r="B3340" s="12" t="str">
        <f>"009939707471"</f>
        <v>009939707471</v>
      </c>
      <c r="C3340" s="7" t="s">
        <v>2210</v>
      </c>
      <c r="D3340" s="7">
        <v>1</v>
      </c>
      <c r="E3340" s="7" t="str">
        <f>""</f>
        <v/>
      </c>
      <c r="F3340" s="7" t="s">
        <v>2327</v>
      </c>
      <c r="G3340" s="7" t="s">
        <v>948</v>
      </c>
      <c r="H3340" s="7" t="s">
        <v>2328</v>
      </c>
      <c r="I3340" s="7" t="s">
        <v>2329</v>
      </c>
      <c r="J3340" s="7"/>
      <c r="K3340" s="7"/>
      <c r="L3340" s="7" t="s">
        <v>2293</v>
      </c>
      <c r="M3340" s="7" t="s">
        <v>448</v>
      </c>
      <c r="N3340" s="7" t="s">
        <v>2282</v>
      </c>
      <c r="O3340" s="7"/>
    </row>
    <row r="3341" spans="1:15">
      <c r="A3341" s="7" t="s">
        <v>15</v>
      </c>
      <c r="B3341" s="12" t="str">
        <f>"FES1162743668"</f>
        <v>FES1162743668</v>
      </c>
      <c r="C3341" s="7" t="s">
        <v>2280</v>
      </c>
      <c r="D3341" s="7">
        <v>1</v>
      </c>
      <c r="E3341" s="7" t="str">
        <f>"2170735076"</f>
        <v>2170735076</v>
      </c>
      <c r="F3341" s="7" t="s">
        <v>17</v>
      </c>
      <c r="G3341" s="7" t="s">
        <v>18</v>
      </c>
      <c r="H3341" s="7" t="s">
        <v>100</v>
      </c>
      <c r="I3341" s="7" t="s">
        <v>101</v>
      </c>
      <c r="J3341" s="7" t="s">
        <v>101</v>
      </c>
      <c r="K3341" s="7" t="s">
        <v>2278</v>
      </c>
      <c r="L3341" s="13">
        <v>0.21041666666666667</v>
      </c>
      <c r="M3341" s="7" t="s">
        <v>448</v>
      </c>
      <c r="N3341" s="7" t="s">
        <v>2282</v>
      </c>
      <c r="O3341" s="7"/>
    </row>
    <row r="3342" spans="1:15">
      <c r="A3342" s="3" t="s">
        <v>15</v>
      </c>
      <c r="B3342" s="2" t="str">
        <f>"FES1162743678"</f>
        <v>FES1162743678</v>
      </c>
      <c r="C3342" s="3" t="s">
        <v>2280</v>
      </c>
      <c r="D3342" s="3">
        <v>1</v>
      </c>
      <c r="E3342" s="3" t="str">
        <f>"2170732455"</f>
        <v>2170732455</v>
      </c>
      <c r="F3342" s="3" t="s">
        <v>17</v>
      </c>
      <c r="G3342" s="3" t="s">
        <v>18</v>
      </c>
      <c r="H3342" s="3" t="s">
        <v>100</v>
      </c>
      <c r="I3342" s="3" t="s">
        <v>101</v>
      </c>
      <c r="J3342" s="3" t="s">
        <v>101</v>
      </c>
      <c r="K3342" s="3" t="s">
        <v>2278</v>
      </c>
      <c r="L3342" s="4">
        <v>0.20972222222222223</v>
      </c>
      <c r="M3342" s="3" t="s">
        <v>2330</v>
      </c>
      <c r="N3342" s="3" t="s">
        <v>24</v>
      </c>
      <c r="O3342" s="3"/>
    </row>
    <row r="3343" spans="1:15">
      <c r="A3343" s="7" t="s">
        <v>15</v>
      </c>
      <c r="B3343" s="12" t="str">
        <f>"FES1162743699"</f>
        <v>FES1162743699</v>
      </c>
      <c r="C3343" s="7" t="s">
        <v>2280</v>
      </c>
      <c r="D3343" s="7">
        <v>1</v>
      </c>
      <c r="E3343" s="7" t="str">
        <f>"2170734648"</f>
        <v>2170734648</v>
      </c>
      <c r="F3343" s="7" t="s">
        <v>17</v>
      </c>
      <c r="G3343" s="7" t="s">
        <v>18</v>
      </c>
      <c r="H3343" s="7" t="s">
        <v>70</v>
      </c>
      <c r="I3343" s="7" t="s">
        <v>71</v>
      </c>
      <c r="J3343" s="7"/>
      <c r="K3343" s="7"/>
      <c r="L3343" s="7" t="s">
        <v>2293</v>
      </c>
      <c r="M3343" s="7" t="s">
        <v>448</v>
      </c>
      <c r="N3343" s="7" t="s">
        <v>2282</v>
      </c>
      <c r="O3343" s="7"/>
    </row>
    <row r="3344" spans="1:15">
      <c r="A3344" s="3" t="s">
        <v>15</v>
      </c>
      <c r="B3344" s="2" t="str">
        <f>"FES1162743465"</f>
        <v>FES1162743465</v>
      </c>
      <c r="C3344" s="3" t="s">
        <v>2280</v>
      </c>
      <c r="D3344" s="3">
        <v>2</v>
      </c>
      <c r="E3344" s="3" t="str">
        <f>"2170733355"</f>
        <v>2170733355</v>
      </c>
      <c r="F3344" s="3" t="s">
        <v>528</v>
      </c>
      <c r="G3344" s="3" t="s">
        <v>948</v>
      </c>
      <c r="H3344" s="3" t="s">
        <v>19</v>
      </c>
      <c r="I3344" s="3" t="s">
        <v>20</v>
      </c>
      <c r="J3344" s="3" t="s">
        <v>20</v>
      </c>
      <c r="K3344" s="3" t="s">
        <v>2278</v>
      </c>
      <c r="L3344" s="4">
        <v>0.3888888888888889</v>
      </c>
      <c r="M3344" s="3" t="s">
        <v>448</v>
      </c>
      <c r="N3344" s="3" t="s">
        <v>2331</v>
      </c>
      <c r="O3344" s="3"/>
    </row>
    <row r="3345" spans="1:15">
      <c r="A3345" s="7" t="s">
        <v>15</v>
      </c>
      <c r="B3345" s="12" t="str">
        <f>"FES1162743743"</f>
        <v>FES1162743743</v>
      </c>
      <c r="C3345" s="7" t="s">
        <v>2280</v>
      </c>
      <c r="D3345" s="7">
        <v>1</v>
      </c>
      <c r="E3345" s="7" t="str">
        <f>"2170734406"</f>
        <v>2170734406</v>
      </c>
      <c r="F3345" s="7" t="s">
        <v>17</v>
      </c>
      <c r="G3345" s="7" t="s">
        <v>18</v>
      </c>
      <c r="H3345" s="7" t="s">
        <v>100</v>
      </c>
      <c r="I3345" s="7" t="s">
        <v>117</v>
      </c>
      <c r="J3345" s="7" t="s">
        <v>101</v>
      </c>
      <c r="K3345" s="7" t="s">
        <v>2278</v>
      </c>
      <c r="L3345" s="13">
        <v>0.21249999999999999</v>
      </c>
      <c r="M3345" s="7" t="s">
        <v>448</v>
      </c>
      <c r="N3345" s="7" t="s">
        <v>2282</v>
      </c>
      <c r="O3345" s="7"/>
    </row>
    <row r="3346" spans="1:15">
      <c r="A3346" s="3" t="s">
        <v>15</v>
      </c>
      <c r="B3346" s="2" t="str">
        <f>"FES1162743704"</f>
        <v>FES1162743704</v>
      </c>
      <c r="C3346" s="3" t="s">
        <v>2280</v>
      </c>
      <c r="D3346" s="3">
        <v>1</v>
      </c>
      <c r="E3346" s="3" t="str">
        <f>"2170735019"</f>
        <v>2170735019</v>
      </c>
      <c r="F3346" s="3" t="s">
        <v>17</v>
      </c>
      <c r="G3346" s="3" t="s">
        <v>18</v>
      </c>
      <c r="H3346" s="3" t="s">
        <v>100</v>
      </c>
      <c r="I3346" s="3" t="s">
        <v>2314</v>
      </c>
      <c r="J3346" s="3" t="s">
        <v>101</v>
      </c>
      <c r="K3346" s="3" t="s">
        <v>2278</v>
      </c>
      <c r="L3346" s="4">
        <v>0.22013888888888888</v>
      </c>
      <c r="M3346" s="3" t="s">
        <v>2315</v>
      </c>
      <c r="N3346" s="3" t="s">
        <v>24</v>
      </c>
      <c r="O3346" s="3"/>
    </row>
    <row r="3347" spans="1:15">
      <c r="A3347" s="7" t="s">
        <v>15</v>
      </c>
      <c r="B3347" s="12" t="str">
        <f>"FES1162743719"</f>
        <v>FES1162743719</v>
      </c>
      <c r="C3347" s="7" t="s">
        <v>2280</v>
      </c>
      <c r="D3347" s="7">
        <v>1</v>
      </c>
      <c r="E3347" s="7" t="str">
        <f>"2170735098"</f>
        <v>2170735098</v>
      </c>
      <c r="F3347" s="7" t="s">
        <v>17</v>
      </c>
      <c r="G3347" s="7" t="s">
        <v>18</v>
      </c>
      <c r="H3347" s="7" t="s">
        <v>66</v>
      </c>
      <c r="I3347" s="7" t="s">
        <v>67</v>
      </c>
      <c r="J3347" s="7" t="s">
        <v>67</v>
      </c>
      <c r="K3347" s="7" t="s">
        <v>2278</v>
      </c>
      <c r="L3347" s="13">
        <v>0.29097222222222224</v>
      </c>
      <c r="M3347" s="7" t="s">
        <v>448</v>
      </c>
      <c r="N3347" s="7" t="s">
        <v>2282</v>
      </c>
      <c r="O3347" s="7"/>
    </row>
    <row r="3348" spans="1:15">
      <c r="A3348" s="7" t="s">
        <v>15</v>
      </c>
      <c r="B3348" s="12" t="str">
        <f>"FES1162743685"</f>
        <v>FES1162743685</v>
      </c>
      <c r="C3348" s="7" t="s">
        <v>2280</v>
      </c>
      <c r="D3348" s="7">
        <v>1</v>
      </c>
      <c r="E3348" s="7" t="str">
        <f>"2170733145"</f>
        <v>2170733145</v>
      </c>
      <c r="F3348" s="7" t="s">
        <v>17</v>
      </c>
      <c r="G3348" s="7" t="s">
        <v>18</v>
      </c>
      <c r="H3348" s="7" t="s">
        <v>19</v>
      </c>
      <c r="I3348" s="7" t="s">
        <v>51</v>
      </c>
      <c r="J3348" s="7" t="s">
        <v>20</v>
      </c>
      <c r="K3348" s="7" t="s">
        <v>2278</v>
      </c>
      <c r="L3348" s="13">
        <v>0.32013888888888892</v>
      </c>
      <c r="M3348" s="7" t="s">
        <v>448</v>
      </c>
      <c r="N3348" s="7" t="s">
        <v>2282</v>
      </c>
      <c r="O3348" s="7"/>
    </row>
    <row r="3349" spans="1:15">
      <c r="A3349" s="3" t="s">
        <v>15</v>
      </c>
      <c r="B3349" s="2" t="str">
        <f>"FES1162743732"</f>
        <v>FES1162743732</v>
      </c>
      <c r="C3349" s="3" t="s">
        <v>2280</v>
      </c>
      <c r="D3349" s="3">
        <v>1</v>
      </c>
      <c r="E3349" s="3" t="str">
        <f>"2170733179"</f>
        <v>2170733179</v>
      </c>
      <c r="F3349" s="3" t="s">
        <v>17</v>
      </c>
      <c r="G3349" s="3" t="s">
        <v>18</v>
      </c>
      <c r="H3349" s="3" t="s">
        <v>36</v>
      </c>
      <c r="I3349" s="3" t="s">
        <v>1440</v>
      </c>
      <c r="J3349" s="3" t="s">
        <v>37</v>
      </c>
      <c r="K3349" s="3" t="s">
        <v>2278</v>
      </c>
      <c r="L3349" s="4">
        <v>0.29652777777777778</v>
      </c>
      <c r="M3349" s="3" t="s">
        <v>2332</v>
      </c>
      <c r="N3349" s="3" t="s">
        <v>24</v>
      </c>
      <c r="O3349" s="3"/>
    </row>
    <row r="3350" spans="1:15">
      <c r="A3350" s="3" t="s">
        <v>15</v>
      </c>
      <c r="B3350" s="2" t="str">
        <f>"FES1162743679"</f>
        <v>FES1162743679</v>
      </c>
      <c r="C3350" s="3" t="s">
        <v>2280</v>
      </c>
      <c r="D3350" s="3">
        <v>1</v>
      </c>
      <c r="E3350" s="3" t="str">
        <f>"217073272"</f>
        <v>217073272</v>
      </c>
      <c r="F3350" s="3" t="s">
        <v>17</v>
      </c>
      <c r="G3350" s="3" t="s">
        <v>18</v>
      </c>
      <c r="H3350" s="3" t="s">
        <v>70</v>
      </c>
      <c r="I3350" s="3" t="s">
        <v>931</v>
      </c>
      <c r="J3350" s="3"/>
      <c r="K3350" s="3"/>
      <c r="L3350" s="3" t="s">
        <v>2293</v>
      </c>
      <c r="M3350" s="3" t="s">
        <v>448</v>
      </c>
      <c r="N3350" s="3" t="s">
        <v>2331</v>
      </c>
      <c r="O3350" s="3"/>
    </row>
    <row r="3351" spans="1:15">
      <c r="A3351" s="3" t="s">
        <v>15</v>
      </c>
      <c r="B3351" s="2" t="str">
        <f>"FES1162743702"</f>
        <v>FES1162743702</v>
      </c>
      <c r="C3351" s="3" t="s">
        <v>2280</v>
      </c>
      <c r="D3351" s="3">
        <v>1</v>
      </c>
      <c r="E3351" s="3" t="str">
        <f>"2170734870"</f>
        <v>2170734870</v>
      </c>
      <c r="F3351" s="3" t="s">
        <v>17</v>
      </c>
      <c r="G3351" s="3" t="s">
        <v>18</v>
      </c>
      <c r="H3351" s="3" t="s">
        <v>19</v>
      </c>
      <c r="I3351" s="3" t="s">
        <v>20</v>
      </c>
      <c r="J3351" s="3" t="s">
        <v>20</v>
      </c>
      <c r="K3351" s="3" t="s">
        <v>2278</v>
      </c>
      <c r="L3351" s="4">
        <v>0.33611111111111108</v>
      </c>
      <c r="M3351" s="3" t="s">
        <v>448</v>
      </c>
      <c r="N3351" s="3" t="s">
        <v>2331</v>
      </c>
      <c r="O3351" s="3"/>
    </row>
    <row r="3352" spans="1:15">
      <c r="A3352" s="7" t="s">
        <v>15</v>
      </c>
      <c r="B3352" s="12" t="str">
        <f>"FES1162743675"</f>
        <v>FES1162743675</v>
      </c>
      <c r="C3352" s="7" t="s">
        <v>2280</v>
      </c>
      <c r="D3352" s="7">
        <v>1</v>
      </c>
      <c r="E3352" s="7" t="str">
        <f>"2170732076"</f>
        <v>2170732076</v>
      </c>
      <c r="F3352" s="7" t="s">
        <v>17</v>
      </c>
      <c r="G3352" s="7" t="s">
        <v>18</v>
      </c>
      <c r="H3352" s="7" t="s">
        <v>36</v>
      </c>
      <c r="I3352" s="7" t="s">
        <v>37</v>
      </c>
      <c r="J3352" s="7" t="s">
        <v>37</v>
      </c>
      <c r="K3352" s="7" t="s">
        <v>2278</v>
      </c>
      <c r="L3352" s="13">
        <v>0.29722222222222222</v>
      </c>
      <c r="M3352" s="7" t="s">
        <v>448</v>
      </c>
      <c r="N3352" s="7" t="s">
        <v>2282</v>
      </c>
      <c r="O3352" s="7"/>
    </row>
    <row r="3353" spans="1:15">
      <c r="A3353" s="3" t="s">
        <v>15</v>
      </c>
      <c r="B3353" s="2" t="str">
        <f>"FES1162743700"</f>
        <v>FES1162743700</v>
      </c>
      <c r="C3353" s="3" t="s">
        <v>2280</v>
      </c>
      <c r="D3353" s="3">
        <v>1</v>
      </c>
      <c r="E3353" s="3" t="str">
        <f>"2170734652"</f>
        <v>2170734652</v>
      </c>
      <c r="F3353" s="3" t="s">
        <v>17</v>
      </c>
      <c r="G3353" s="3" t="s">
        <v>18</v>
      </c>
      <c r="H3353" s="3" t="s">
        <v>46</v>
      </c>
      <c r="I3353" s="3" t="s">
        <v>47</v>
      </c>
      <c r="J3353" s="3" t="s">
        <v>47</v>
      </c>
      <c r="K3353" s="3" t="s">
        <v>2278</v>
      </c>
      <c r="L3353" s="4">
        <v>0.32847222222222222</v>
      </c>
      <c r="M3353" s="3" t="s">
        <v>2333</v>
      </c>
      <c r="N3353" s="3" t="s">
        <v>24</v>
      </c>
      <c r="O3353" s="3"/>
    </row>
    <row r="3354" spans="1:15">
      <c r="A3354" s="7" t="s">
        <v>15</v>
      </c>
      <c r="B3354" s="12" t="str">
        <f>"FES1162743715"</f>
        <v>FES1162743715</v>
      </c>
      <c r="C3354" s="7" t="s">
        <v>2280</v>
      </c>
      <c r="D3354" s="7">
        <v>1</v>
      </c>
      <c r="E3354" s="7" t="str">
        <f>"2170735078"</f>
        <v>2170735078</v>
      </c>
      <c r="F3354" s="7" t="s">
        <v>17</v>
      </c>
      <c r="G3354" s="7" t="s">
        <v>18</v>
      </c>
      <c r="H3354" s="7" t="s">
        <v>36</v>
      </c>
      <c r="I3354" s="7" t="s">
        <v>330</v>
      </c>
      <c r="J3354" s="7" t="s">
        <v>37</v>
      </c>
      <c r="K3354" s="7" t="s">
        <v>2278</v>
      </c>
      <c r="L3354" s="13">
        <v>0.29652777777777778</v>
      </c>
      <c r="M3354" s="7" t="s">
        <v>448</v>
      </c>
      <c r="N3354" s="7" t="s">
        <v>2282</v>
      </c>
      <c r="O3354" s="7"/>
    </row>
    <row r="3355" spans="1:15">
      <c r="A3355" s="7" t="s">
        <v>15</v>
      </c>
      <c r="B3355" s="12" t="str">
        <f>"FES1162743722"</f>
        <v>FES1162743722</v>
      </c>
      <c r="C3355" s="7" t="s">
        <v>2280</v>
      </c>
      <c r="D3355" s="7">
        <v>1</v>
      </c>
      <c r="E3355" s="7" t="str">
        <f>"2170735102"</f>
        <v>2170735102</v>
      </c>
      <c r="F3355" s="7" t="s">
        <v>17</v>
      </c>
      <c r="G3355" s="7" t="s">
        <v>18</v>
      </c>
      <c r="H3355" s="7" t="s">
        <v>36</v>
      </c>
      <c r="I3355" s="7" t="s">
        <v>37</v>
      </c>
      <c r="J3355" s="7" t="s">
        <v>37</v>
      </c>
      <c r="K3355" s="7" t="s">
        <v>2278</v>
      </c>
      <c r="L3355" s="13">
        <v>0.29722222222222222</v>
      </c>
      <c r="M3355" s="7" t="s">
        <v>448</v>
      </c>
      <c r="N3355" s="7" t="s">
        <v>2282</v>
      </c>
      <c r="O3355" s="7"/>
    </row>
    <row r="3356" spans="1:15">
      <c r="A3356" s="3" t="s">
        <v>15</v>
      </c>
      <c r="B3356" s="2" t="str">
        <f>"FES1162743674"</f>
        <v>FES1162743674</v>
      </c>
      <c r="C3356" s="3" t="s">
        <v>2280</v>
      </c>
      <c r="D3356" s="3">
        <v>1</v>
      </c>
      <c r="E3356" s="3" t="str">
        <f>"2170731690"</f>
        <v>2170731690</v>
      </c>
      <c r="F3356" s="3" t="s">
        <v>17</v>
      </c>
      <c r="G3356" s="3" t="s">
        <v>18</v>
      </c>
      <c r="H3356" s="3" t="s">
        <v>18</v>
      </c>
      <c r="I3356" s="3" t="s">
        <v>206</v>
      </c>
      <c r="J3356" s="3" t="s">
        <v>18</v>
      </c>
      <c r="K3356" s="3" t="s">
        <v>2280</v>
      </c>
      <c r="L3356" s="4">
        <v>0.57430555555555551</v>
      </c>
      <c r="M3356" s="3" t="s">
        <v>1872</v>
      </c>
      <c r="N3356" s="3" t="s">
        <v>24</v>
      </c>
      <c r="O3356" s="3"/>
    </row>
    <row r="3357" spans="1:15">
      <c r="A3357" s="3" t="s">
        <v>15</v>
      </c>
      <c r="B3357" s="2" t="str">
        <f>"FES1162743720"</f>
        <v>FES1162743720</v>
      </c>
      <c r="C3357" s="3" t="s">
        <v>2280</v>
      </c>
      <c r="D3357" s="3">
        <v>1</v>
      </c>
      <c r="E3357" s="3" t="str">
        <f>"2170735099"</f>
        <v>2170735099</v>
      </c>
      <c r="F3357" s="3" t="s">
        <v>17</v>
      </c>
      <c r="G3357" s="3" t="s">
        <v>18</v>
      </c>
      <c r="H3357" s="3" t="s">
        <v>18</v>
      </c>
      <c r="I3357" s="3" t="s">
        <v>180</v>
      </c>
      <c r="J3357" s="3" t="s">
        <v>18</v>
      </c>
      <c r="K3357" s="3" t="s">
        <v>2280</v>
      </c>
      <c r="L3357" s="4">
        <v>0.57430555555555551</v>
      </c>
      <c r="M3357" s="3" t="s">
        <v>405</v>
      </c>
      <c r="N3357" s="3" t="s">
        <v>24</v>
      </c>
      <c r="O3357" s="3"/>
    </row>
    <row r="3358" spans="1:15">
      <c r="A3358" s="7" t="s">
        <v>15</v>
      </c>
      <c r="B3358" s="12" t="str">
        <f>"FES1162743682"</f>
        <v>FES1162743682</v>
      </c>
      <c r="C3358" s="7" t="s">
        <v>2280</v>
      </c>
      <c r="D3358" s="7">
        <v>1</v>
      </c>
      <c r="E3358" s="7" t="str">
        <f>"2170732960"</f>
        <v>2170732960</v>
      </c>
      <c r="F3358" s="7" t="s">
        <v>17</v>
      </c>
      <c r="G3358" s="7" t="s">
        <v>18</v>
      </c>
      <c r="H3358" s="7" t="s">
        <v>18</v>
      </c>
      <c r="I3358" s="7" t="s">
        <v>168</v>
      </c>
      <c r="J3358" s="7" t="s">
        <v>18</v>
      </c>
      <c r="K3358" s="7" t="s">
        <v>2280</v>
      </c>
      <c r="L3358" s="13">
        <v>0.57430555555555551</v>
      </c>
      <c r="M3358" s="7" t="s">
        <v>2289</v>
      </c>
      <c r="N3358" s="7" t="s">
        <v>2282</v>
      </c>
      <c r="O3358" s="7"/>
    </row>
    <row r="3359" spans="1:15">
      <c r="A3359" s="7" t="s">
        <v>15</v>
      </c>
      <c r="B3359" s="12" t="str">
        <f>"FES1162743714"</f>
        <v>FES1162743714</v>
      </c>
      <c r="C3359" s="7" t="s">
        <v>2280</v>
      </c>
      <c r="D3359" s="7">
        <v>1</v>
      </c>
      <c r="E3359" s="7" t="str">
        <f>"2170735092"</f>
        <v>2170735092</v>
      </c>
      <c r="F3359" s="7" t="s">
        <v>17</v>
      </c>
      <c r="G3359" s="7" t="s">
        <v>18</v>
      </c>
      <c r="H3359" s="7" t="s">
        <v>18</v>
      </c>
      <c r="I3359" s="7" t="s">
        <v>151</v>
      </c>
      <c r="J3359" s="7" t="s">
        <v>18</v>
      </c>
      <c r="K3359" s="7" t="s">
        <v>2280</v>
      </c>
      <c r="L3359" s="13">
        <v>0.57430555555555551</v>
      </c>
      <c r="M3359" s="7" t="s">
        <v>448</v>
      </c>
      <c r="N3359" s="7" t="s">
        <v>2282</v>
      </c>
      <c r="O3359" s="7"/>
    </row>
    <row r="3360" spans="1:15">
      <c r="A3360" s="3" t="s">
        <v>15</v>
      </c>
      <c r="B3360" s="2" t="str">
        <f>"FES1162743637"</f>
        <v>FES1162743637</v>
      </c>
      <c r="C3360" s="3" t="s">
        <v>2280</v>
      </c>
      <c r="D3360" s="3">
        <v>1</v>
      </c>
      <c r="E3360" s="3" t="str">
        <f>"2170735035"</f>
        <v>2170735035</v>
      </c>
      <c r="F3360" s="3" t="s">
        <v>17</v>
      </c>
      <c r="G3360" s="3" t="s">
        <v>18</v>
      </c>
      <c r="H3360" s="3" t="s">
        <v>18</v>
      </c>
      <c r="I3360" s="3" t="s">
        <v>171</v>
      </c>
      <c r="J3360" s="3" t="s">
        <v>18</v>
      </c>
      <c r="K3360" s="3" t="s">
        <v>2280</v>
      </c>
      <c r="L3360" s="4">
        <v>0.57430555555555551</v>
      </c>
      <c r="M3360" s="3" t="s">
        <v>683</v>
      </c>
      <c r="N3360" s="3" t="s">
        <v>24</v>
      </c>
      <c r="O3360" s="3"/>
    </row>
    <row r="3361" spans="1:15">
      <c r="A3361" s="7" t="s">
        <v>15</v>
      </c>
      <c r="B3361" s="12" t="str">
        <f>"FES1162743677"</f>
        <v>FES1162743677</v>
      </c>
      <c r="C3361" s="7" t="s">
        <v>2280</v>
      </c>
      <c r="D3361" s="7">
        <v>1</v>
      </c>
      <c r="E3361" s="7" t="str">
        <f>"2170732327"</f>
        <v>2170732327</v>
      </c>
      <c r="F3361" s="7" t="s">
        <v>17</v>
      </c>
      <c r="G3361" s="7" t="s">
        <v>18</v>
      </c>
      <c r="H3361" s="7" t="s">
        <v>18</v>
      </c>
      <c r="I3361" s="7" t="s">
        <v>168</v>
      </c>
      <c r="J3361" s="7" t="s">
        <v>18</v>
      </c>
      <c r="K3361" s="7" t="s">
        <v>2280</v>
      </c>
      <c r="L3361" s="13">
        <v>0.57430555555555551</v>
      </c>
      <c r="M3361" s="7" t="s">
        <v>2289</v>
      </c>
      <c r="N3361" s="7" t="s">
        <v>2282</v>
      </c>
      <c r="O3361" s="7"/>
    </row>
    <row r="3362" spans="1:15">
      <c r="A3362" s="3" t="s">
        <v>15</v>
      </c>
      <c r="B3362" s="2" t="str">
        <f>"FES1162743663"</f>
        <v>FES1162743663</v>
      </c>
      <c r="C3362" s="3" t="s">
        <v>2280</v>
      </c>
      <c r="D3362" s="3">
        <v>1</v>
      </c>
      <c r="E3362" s="3" t="str">
        <f>"2170734872"</f>
        <v>2170734872</v>
      </c>
      <c r="F3362" s="3" t="s">
        <v>17</v>
      </c>
      <c r="G3362" s="3" t="s">
        <v>18</v>
      </c>
      <c r="H3362" s="3" t="s">
        <v>18</v>
      </c>
      <c r="I3362" s="3" t="s">
        <v>151</v>
      </c>
      <c r="J3362" s="3" t="s">
        <v>18</v>
      </c>
      <c r="K3362" s="3" t="s">
        <v>2280</v>
      </c>
      <c r="L3362" s="4">
        <v>0.57430555555555551</v>
      </c>
      <c r="M3362" s="3" t="s">
        <v>2334</v>
      </c>
      <c r="N3362" s="3" t="s">
        <v>24</v>
      </c>
      <c r="O3362" s="3"/>
    </row>
    <row r="3363" spans="1:15">
      <c r="A3363" s="3" t="s">
        <v>15</v>
      </c>
      <c r="B3363" s="2" t="str">
        <f>"FES1162743634"</f>
        <v>FES1162743634</v>
      </c>
      <c r="C3363" s="3" t="s">
        <v>2280</v>
      </c>
      <c r="D3363" s="3">
        <v>1</v>
      </c>
      <c r="E3363" s="3" t="str">
        <f>"2170735042"</f>
        <v>2170735042</v>
      </c>
      <c r="F3363" s="3" t="s">
        <v>17</v>
      </c>
      <c r="G3363" s="3" t="s">
        <v>18</v>
      </c>
      <c r="H3363" s="3" t="s">
        <v>18</v>
      </c>
      <c r="I3363" s="3" t="s">
        <v>171</v>
      </c>
      <c r="J3363" s="3" t="s">
        <v>18</v>
      </c>
      <c r="K3363" s="3" t="s">
        <v>2280</v>
      </c>
      <c r="L3363" s="4">
        <v>0.57430555555555551</v>
      </c>
      <c r="M3363" s="3" t="s">
        <v>2335</v>
      </c>
      <c r="N3363" s="3" t="s">
        <v>24</v>
      </c>
      <c r="O3363" s="3"/>
    </row>
    <row r="3364" spans="1:15">
      <c r="A3364" s="3" t="s">
        <v>15</v>
      </c>
      <c r="B3364" s="2" t="str">
        <f>"FES1162743703"</f>
        <v>FES1162743703</v>
      </c>
      <c r="C3364" s="3" t="s">
        <v>2280</v>
      </c>
      <c r="D3364" s="3">
        <v>1</v>
      </c>
      <c r="E3364" s="3" t="str">
        <f>"2170734931"</f>
        <v>2170734931</v>
      </c>
      <c r="F3364" s="3" t="s">
        <v>17</v>
      </c>
      <c r="G3364" s="3" t="s">
        <v>18</v>
      </c>
      <c r="H3364" s="3" t="s">
        <v>18</v>
      </c>
      <c r="I3364" s="3" t="s">
        <v>171</v>
      </c>
      <c r="J3364" s="3" t="s">
        <v>18</v>
      </c>
      <c r="K3364" s="3" t="s">
        <v>2280</v>
      </c>
      <c r="L3364" s="4">
        <v>0.57430555555555551</v>
      </c>
      <c r="M3364" s="3" t="s">
        <v>691</v>
      </c>
      <c r="N3364" s="3" t="s">
        <v>24</v>
      </c>
      <c r="O3364" s="3"/>
    </row>
    <row r="3365" spans="1:15">
      <c r="A3365" s="7" t="s">
        <v>15</v>
      </c>
      <c r="B3365" s="12" t="str">
        <f>"FES1162743692"</f>
        <v>FES1162743692</v>
      </c>
      <c r="C3365" s="7" t="s">
        <v>2280</v>
      </c>
      <c r="D3365" s="7">
        <v>1</v>
      </c>
      <c r="E3365" s="7" t="str">
        <f>"2170733739"</f>
        <v>2170733739</v>
      </c>
      <c r="F3365" s="7" t="s">
        <v>17</v>
      </c>
      <c r="G3365" s="7" t="s">
        <v>18</v>
      </c>
      <c r="H3365" s="7" t="s">
        <v>18</v>
      </c>
      <c r="I3365" s="7" t="s">
        <v>525</v>
      </c>
      <c r="J3365" s="7" t="s">
        <v>18</v>
      </c>
      <c r="K3365" s="7" t="s">
        <v>2280</v>
      </c>
      <c r="L3365" s="13">
        <v>0.57430555555555551</v>
      </c>
      <c r="M3365" s="7" t="s">
        <v>448</v>
      </c>
      <c r="N3365" s="7" t="s">
        <v>2282</v>
      </c>
      <c r="O3365" s="7"/>
    </row>
    <row r="3366" spans="1:15">
      <c r="A3366" s="7" t="s">
        <v>15</v>
      </c>
      <c r="B3366" s="12" t="str">
        <f>"FES1162743742"</f>
        <v>FES1162743742</v>
      </c>
      <c r="C3366" s="7" t="s">
        <v>2280</v>
      </c>
      <c r="D3366" s="7">
        <v>2</v>
      </c>
      <c r="E3366" s="7" t="str">
        <f>"2170734549"</f>
        <v>2170734549</v>
      </c>
      <c r="F3366" s="7" t="s">
        <v>17</v>
      </c>
      <c r="G3366" s="7" t="s">
        <v>18</v>
      </c>
      <c r="H3366" s="7" t="s">
        <v>36</v>
      </c>
      <c r="I3366" s="7" t="s">
        <v>37</v>
      </c>
      <c r="J3366" s="7" t="s">
        <v>37</v>
      </c>
      <c r="K3366" s="7" t="s">
        <v>2278</v>
      </c>
      <c r="L3366" s="13">
        <v>0.29652777777777778</v>
      </c>
      <c r="M3366" s="7" t="s">
        <v>448</v>
      </c>
      <c r="N3366" s="7" t="s">
        <v>2282</v>
      </c>
      <c r="O3366" s="7"/>
    </row>
    <row r="3367" spans="1:15">
      <c r="A3367" s="7" t="s">
        <v>15</v>
      </c>
      <c r="B3367" s="12" t="str">
        <f>"FES1162743665"</f>
        <v>FES1162743665</v>
      </c>
      <c r="C3367" s="7" t="s">
        <v>2280</v>
      </c>
      <c r="D3367" s="7">
        <v>1</v>
      </c>
      <c r="E3367" s="7" t="str">
        <f>"2170735073"</f>
        <v>2170735073</v>
      </c>
      <c r="F3367" s="7" t="s">
        <v>17</v>
      </c>
      <c r="G3367" s="7" t="s">
        <v>18</v>
      </c>
      <c r="H3367" s="7" t="s">
        <v>19</v>
      </c>
      <c r="I3367" s="7" t="s">
        <v>20</v>
      </c>
      <c r="J3367" s="7" t="s">
        <v>20</v>
      </c>
      <c r="K3367" s="7" t="s">
        <v>2278</v>
      </c>
      <c r="L3367" s="13">
        <v>0.37013888888888885</v>
      </c>
      <c r="M3367" s="7" t="s">
        <v>448</v>
      </c>
      <c r="N3367" s="7" t="s">
        <v>2282</v>
      </c>
      <c r="O3367" s="7"/>
    </row>
    <row r="3368" spans="1:15">
      <c r="A3368" s="7" t="s">
        <v>15</v>
      </c>
      <c r="B3368" s="12" t="str">
        <f>"FES1162743681"</f>
        <v>FES1162743681</v>
      </c>
      <c r="C3368" s="7" t="s">
        <v>2280</v>
      </c>
      <c r="D3368" s="7">
        <v>1</v>
      </c>
      <c r="E3368" s="7" t="str">
        <f>"2170732942"</f>
        <v>2170732942</v>
      </c>
      <c r="F3368" s="7" t="s">
        <v>17</v>
      </c>
      <c r="G3368" s="7" t="s">
        <v>18</v>
      </c>
      <c r="H3368" s="7" t="s">
        <v>100</v>
      </c>
      <c r="I3368" s="7" t="s">
        <v>101</v>
      </c>
      <c r="J3368" s="7" t="s">
        <v>101</v>
      </c>
      <c r="K3368" s="7" t="s">
        <v>2278</v>
      </c>
      <c r="L3368" s="13">
        <v>0.22152777777777777</v>
      </c>
      <c r="M3368" s="7" t="s">
        <v>448</v>
      </c>
      <c r="N3368" s="7" t="s">
        <v>2282</v>
      </c>
      <c r="O3368" s="7"/>
    </row>
    <row r="3369" spans="1:15">
      <c r="A3369" s="7" t="s">
        <v>15</v>
      </c>
      <c r="B3369" s="12" t="str">
        <f>"FES1162743725"</f>
        <v>FES1162743725</v>
      </c>
      <c r="C3369" s="7" t="s">
        <v>2280</v>
      </c>
      <c r="D3369" s="7">
        <v>1</v>
      </c>
      <c r="E3369" s="7" t="str">
        <f>"2170735105"</f>
        <v>2170735105</v>
      </c>
      <c r="F3369" s="7" t="s">
        <v>17</v>
      </c>
      <c r="G3369" s="7" t="s">
        <v>18</v>
      </c>
      <c r="H3369" s="7" t="s">
        <v>18</v>
      </c>
      <c r="I3369" s="7" t="s">
        <v>580</v>
      </c>
      <c r="J3369" s="7" t="s">
        <v>18</v>
      </c>
      <c r="K3369" s="7" t="s">
        <v>2280</v>
      </c>
      <c r="L3369" s="13">
        <v>0.57430555555555551</v>
      </c>
      <c r="M3369" s="7" t="s">
        <v>448</v>
      </c>
      <c r="N3369" s="7" t="s">
        <v>2282</v>
      </c>
      <c r="O3369" s="7"/>
    </row>
    <row r="3370" spans="1:15">
      <c r="A3370" s="7" t="s">
        <v>15</v>
      </c>
      <c r="B3370" s="12" t="str">
        <f>"FES1162743716"</f>
        <v>FES1162743716</v>
      </c>
      <c r="C3370" s="7" t="s">
        <v>2280</v>
      </c>
      <c r="D3370" s="7">
        <v>1</v>
      </c>
      <c r="E3370" s="7" t="str">
        <f>"2170735095"</f>
        <v>2170735095</v>
      </c>
      <c r="F3370" s="7" t="s">
        <v>17</v>
      </c>
      <c r="G3370" s="7" t="s">
        <v>18</v>
      </c>
      <c r="H3370" s="7" t="s">
        <v>100</v>
      </c>
      <c r="I3370" s="7" t="s">
        <v>117</v>
      </c>
      <c r="J3370" s="7" t="s">
        <v>101</v>
      </c>
      <c r="K3370" s="7" t="s">
        <v>2278</v>
      </c>
      <c r="L3370" s="13">
        <v>0.21944444444444444</v>
      </c>
      <c r="M3370" s="7" t="s">
        <v>448</v>
      </c>
      <c r="N3370" s="7" t="s">
        <v>2282</v>
      </c>
      <c r="O3370" s="7"/>
    </row>
    <row r="3371" spans="1:15">
      <c r="A3371" s="3" t="s">
        <v>15</v>
      </c>
      <c r="B3371" s="2" t="str">
        <f>"FES1162743697"</f>
        <v>FES1162743697</v>
      </c>
      <c r="C3371" s="3" t="s">
        <v>2280</v>
      </c>
      <c r="D3371" s="3">
        <v>1</v>
      </c>
      <c r="E3371" s="3" t="str">
        <f>"2170734462"</f>
        <v>2170734462</v>
      </c>
      <c r="F3371" s="3" t="s">
        <v>17</v>
      </c>
      <c r="G3371" s="3" t="s">
        <v>18</v>
      </c>
      <c r="H3371" s="3" t="s">
        <v>66</v>
      </c>
      <c r="I3371" s="3" t="s">
        <v>177</v>
      </c>
      <c r="J3371" s="3" t="s">
        <v>67</v>
      </c>
      <c r="K3371" s="3" t="s">
        <v>2278</v>
      </c>
      <c r="L3371" s="4">
        <v>0.28958333333333336</v>
      </c>
      <c r="M3371" s="3" t="s">
        <v>2336</v>
      </c>
      <c r="N3371" s="3" t="s">
        <v>24</v>
      </c>
      <c r="O3371" s="3"/>
    </row>
    <row r="3372" spans="1:15">
      <c r="A3372" s="3" t="s">
        <v>15</v>
      </c>
      <c r="B3372" s="2" t="str">
        <f>"FES1162743729"</f>
        <v>FES1162743729</v>
      </c>
      <c r="C3372" s="3" t="s">
        <v>2280</v>
      </c>
      <c r="D3372" s="3">
        <v>1</v>
      </c>
      <c r="E3372" s="3" t="str">
        <f>"2170735108"</f>
        <v>2170735108</v>
      </c>
      <c r="F3372" s="3" t="s">
        <v>17</v>
      </c>
      <c r="G3372" s="3" t="s">
        <v>18</v>
      </c>
      <c r="H3372" s="3" t="s">
        <v>18</v>
      </c>
      <c r="I3372" s="3" t="s">
        <v>33</v>
      </c>
      <c r="J3372" s="3" t="s">
        <v>18</v>
      </c>
      <c r="K3372" s="3" t="s">
        <v>2280</v>
      </c>
      <c r="L3372" s="4">
        <v>0.57430555555555551</v>
      </c>
      <c r="M3372" s="3" t="s">
        <v>2337</v>
      </c>
      <c r="N3372" s="3" t="s">
        <v>24</v>
      </c>
      <c r="O3372" s="3"/>
    </row>
    <row r="3373" spans="1:15">
      <c r="A3373" s="3" t="s">
        <v>15</v>
      </c>
      <c r="B3373" s="2" t="str">
        <f>"FES1162743694"</f>
        <v>FES1162743694</v>
      </c>
      <c r="C3373" s="3" t="s">
        <v>2280</v>
      </c>
      <c r="D3373" s="3">
        <v>1</v>
      </c>
      <c r="E3373" s="3" t="str">
        <f>"2170733916"</f>
        <v>2170733916</v>
      </c>
      <c r="F3373" s="3" t="s">
        <v>17</v>
      </c>
      <c r="G3373" s="3" t="s">
        <v>18</v>
      </c>
      <c r="H3373" s="3" t="s">
        <v>18</v>
      </c>
      <c r="I3373" s="3" t="s">
        <v>29</v>
      </c>
      <c r="J3373" s="3" t="s">
        <v>18</v>
      </c>
      <c r="K3373" s="3" t="s">
        <v>2280</v>
      </c>
      <c r="L3373" s="4">
        <v>0.57430555555555551</v>
      </c>
      <c r="M3373" s="3" t="s">
        <v>897</v>
      </c>
      <c r="N3373" s="3" t="s">
        <v>24</v>
      </c>
      <c r="O3373" s="3"/>
    </row>
    <row r="3374" spans="1:15">
      <c r="A3374" s="3" t="s">
        <v>15</v>
      </c>
      <c r="B3374" s="2" t="str">
        <f>"FES1162743701"</f>
        <v>FES1162743701</v>
      </c>
      <c r="C3374" s="3" t="s">
        <v>2280</v>
      </c>
      <c r="D3374" s="3">
        <v>1</v>
      </c>
      <c r="E3374" s="3" t="str">
        <f>"2170734717"</f>
        <v>2170734717</v>
      </c>
      <c r="F3374" s="3" t="s">
        <v>17</v>
      </c>
      <c r="G3374" s="3" t="s">
        <v>18</v>
      </c>
      <c r="H3374" s="3" t="s">
        <v>18</v>
      </c>
      <c r="I3374" s="3" t="s">
        <v>29</v>
      </c>
      <c r="J3374" s="3" t="s">
        <v>18</v>
      </c>
      <c r="K3374" s="3" t="s">
        <v>2280</v>
      </c>
      <c r="L3374" s="4">
        <v>0.57430555555555551</v>
      </c>
      <c r="M3374" s="3" t="s">
        <v>2338</v>
      </c>
      <c r="N3374" s="3" t="s">
        <v>24</v>
      </c>
      <c r="O3374" s="3"/>
    </row>
    <row r="3375" spans="1:15">
      <c r="A3375" s="14" t="s">
        <v>15</v>
      </c>
      <c r="B3375" s="15" t="str">
        <f>"FES1162743696"</f>
        <v>FES1162743696</v>
      </c>
      <c r="C3375" s="14" t="s">
        <v>2280</v>
      </c>
      <c r="D3375" s="14">
        <v>1</v>
      </c>
      <c r="E3375" s="14" t="str">
        <f>"2170734341"</f>
        <v>2170734341</v>
      </c>
      <c r="F3375" s="14" t="s">
        <v>17</v>
      </c>
      <c r="G3375" s="14" t="s">
        <v>18</v>
      </c>
      <c r="H3375" s="14" t="s">
        <v>70</v>
      </c>
      <c r="I3375" s="14" t="s">
        <v>71</v>
      </c>
      <c r="J3375" s="14"/>
      <c r="K3375" s="14"/>
      <c r="L3375" s="14" t="s">
        <v>2293</v>
      </c>
      <c r="M3375" s="14" t="s">
        <v>448</v>
      </c>
      <c r="N3375" s="14" t="s">
        <v>2331</v>
      </c>
      <c r="O3375" s="14"/>
    </row>
    <row r="3376" spans="1:15">
      <c r="A3376" s="14" t="s">
        <v>15</v>
      </c>
      <c r="B3376" s="15" t="str">
        <f>"FES1162743684"</f>
        <v>FES1162743684</v>
      </c>
      <c r="C3376" s="14" t="s">
        <v>2280</v>
      </c>
      <c r="D3376" s="14">
        <v>1</v>
      </c>
      <c r="E3376" s="14" t="str">
        <f>"2170733068"</f>
        <v>2170733068</v>
      </c>
      <c r="F3376" s="14" t="s">
        <v>17</v>
      </c>
      <c r="G3376" s="14" t="s">
        <v>18</v>
      </c>
      <c r="H3376" s="14" t="s">
        <v>70</v>
      </c>
      <c r="I3376" s="14" t="s">
        <v>931</v>
      </c>
      <c r="J3376" s="14"/>
      <c r="K3376" s="14"/>
      <c r="L3376" s="14" t="s">
        <v>2293</v>
      </c>
      <c r="M3376" s="14" t="s">
        <v>448</v>
      </c>
      <c r="N3376" s="14" t="s">
        <v>2331</v>
      </c>
      <c r="O3376" s="14"/>
    </row>
    <row r="3377" spans="1:15">
      <c r="A3377" s="3" t="s">
        <v>15</v>
      </c>
      <c r="B3377" s="2" t="str">
        <f>"FES1162743683"</f>
        <v>FES1162743683</v>
      </c>
      <c r="C3377" s="3" t="s">
        <v>2280</v>
      </c>
      <c r="D3377" s="3">
        <v>1</v>
      </c>
      <c r="E3377" s="3" t="str">
        <f>"2170732988"</f>
        <v>2170732988</v>
      </c>
      <c r="F3377" s="3" t="s">
        <v>17</v>
      </c>
      <c r="G3377" s="3" t="s">
        <v>18</v>
      </c>
      <c r="H3377" s="3" t="s">
        <v>36</v>
      </c>
      <c r="I3377" s="3" t="s">
        <v>37</v>
      </c>
      <c r="J3377" s="3" t="s">
        <v>37</v>
      </c>
      <c r="K3377" s="3" t="s">
        <v>2278</v>
      </c>
      <c r="L3377" s="4">
        <v>0.2951388888888889</v>
      </c>
      <c r="M3377" s="3" t="s">
        <v>2339</v>
      </c>
      <c r="N3377" s="3" t="s">
        <v>24</v>
      </c>
      <c r="O3377" s="3"/>
    </row>
    <row r="3378" spans="1:15">
      <c r="A3378" s="7" t="s">
        <v>15</v>
      </c>
      <c r="B3378" s="12" t="str">
        <f>"FES1162743698"</f>
        <v>FES1162743698</v>
      </c>
      <c r="C3378" s="7" t="s">
        <v>2280</v>
      </c>
      <c r="D3378" s="7">
        <v>1</v>
      </c>
      <c r="E3378" s="7" t="str">
        <f>"2170734581"</f>
        <v>2170734581</v>
      </c>
      <c r="F3378" s="7" t="s">
        <v>17</v>
      </c>
      <c r="G3378" s="7" t="s">
        <v>18</v>
      </c>
      <c r="H3378" s="7" t="s">
        <v>18</v>
      </c>
      <c r="I3378" s="7" t="s">
        <v>33</v>
      </c>
      <c r="J3378" s="7" t="s">
        <v>18</v>
      </c>
      <c r="K3378" s="7" t="s">
        <v>2280</v>
      </c>
      <c r="L3378" s="13">
        <v>0.57430555555555551</v>
      </c>
      <c r="M3378" s="7" t="s">
        <v>448</v>
      </c>
      <c r="N3378" s="7" t="s">
        <v>2282</v>
      </c>
      <c r="O3378" s="7"/>
    </row>
    <row r="3379" spans="1:15">
      <c r="A3379" s="3" t="s">
        <v>15</v>
      </c>
      <c r="B3379" s="2" t="str">
        <f>"FES1162743731"</f>
        <v>FES1162743731</v>
      </c>
      <c r="C3379" s="3" t="s">
        <v>2280</v>
      </c>
      <c r="D3379" s="3">
        <v>1</v>
      </c>
      <c r="E3379" s="3" t="str">
        <f>"2170735110"</f>
        <v>2170735110</v>
      </c>
      <c r="F3379" s="3" t="s">
        <v>17</v>
      </c>
      <c r="G3379" s="3" t="s">
        <v>18</v>
      </c>
      <c r="H3379" s="3" t="s">
        <v>100</v>
      </c>
      <c r="I3379" s="3" t="s">
        <v>2314</v>
      </c>
      <c r="J3379" s="3" t="s">
        <v>101</v>
      </c>
      <c r="K3379" s="3" t="s">
        <v>2278</v>
      </c>
      <c r="L3379" s="4">
        <v>0.22222222222222221</v>
      </c>
      <c r="M3379" s="3" t="s">
        <v>2315</v>
      </c>
      <c r="N3379" s="3" t="s">
        <v>24</v>
      </c>
      <c r="O3379" s="3"/>
    </row>
    <row r="3380" spans="1:15">
      <c r="A3380" s="14" t="s">
        <v>15</v>
      </c>
      <c r="B3380" s="15" t="str">
        <f>"FES1162743670"</f>
        <v>FES1162743670</v>
      </c>
      <c r="C3380" s="14" t="s">
        <v>2280</v>
      </c>
      <c r="D3380" s="14">
        <v>1</v>
      </c>
      <c r="E3380" s="14" t="str">
        <f>"2170731085"</f>
        <v>2170731085</v>
      </c>
      <c r="F3380" s="14" t="s">
        <v>17</v>
      </c>
      <c r="G3380" s="14" t="s">
        <v>18</v>
      </c>
      <c r="H3380" s="14" t="s">
        <v>70</v>
      </c>
      <c r="I3380" s="14" t="s">
        <v>71</v>
      </c>
      <c r="J3380" s="14"/>
      <c r="K3380" s="14"/>
      <c r="L3380" s="14" t="s">
        <v>2293</v>
      </c>
      <c r="M3380" s="14" t="s">
        <v>448</v>
      </c>
      <c r="N3380" s="14" t="s">
        <v>2331</v>
      </c>
      <c r="O3380" s="14"/>
    </row>
    <row r="3381" spans="1:15">
      <c r="A3381" s="14" t="s">
        <v>15</v>
      </c>
      <c r="B3381" s="15" t="str">
        <f>"FES1162743688"</f>
        <v>FES1162743688</v>
      </c>
      <c r="C3381" s="14" t="s">
        <v>2280</v>
      </c>
      <c r="D3381" s="14">
        <v>1</v>
      </c>
      <c r="E3381" s="14" t="str">
        <f>"2170733314"</f>
        <v>2170733314</v>
      </c>
      <c r="F3381" s="14" t="s">
        <v>17</v>
      </c>
      <c r="G3381" s="14" t="s">
        <v>18</v>
      </c>
      <c r="H3381" s="14" t="s">
        <v>19</v>
      </c>
      <c r="I3381" s="14" t="s">
        <v>20</v>
      </c>
      <c r="J3381" s="14" t="s">
        <v>20</v>
      </c>
      <c r="K3381" s="14" t="s">
        <v>2278</v>
      </c>
      <c r="L3381" s="16">
        <v>0.37222222222222223</v>
      </c>
      <c r="M3381" s="14" t="s">
        <v>448</v>
      </c>
      <c r="N3381" s="14" t="s">
        <v>2331</v>
      </c>
      <c r="O3381" s="14"/>
    </row>
    <row r="3382" spans="1:15">
      <c r="A3382" s="3" t="s">
        <v>15</v>
      </c>
      <c r="B3382" s="2" t="str">
        <f>"FES1162743744"</f>
        <v>FES1162743744</v>
      </c>
      <c r="C3382" s="3" t="s">
        <v>2280</v>
      </c>
      <c r="D3382" s="3">
        <v>1</v>
      </c>
      <c r="E3382" s="3" t="str">
        <f>"2170735121"</f>
        <v>2170735121</v>
      </c>
      <c r="F3382" s="3" t="s">
        <v>17</v>
      </c>
      <c r="G3382" s="3" t="s">
        <v>18</v>
      </c>
      <c r="H3382" s="3" t="s">
        <v>66</v>
      </c>
      <c r="I3382" s="3" t="s">
        <v>67</v>
      </c>
      <c r="J3382" s="3" t="s">
        <v>67</v>
      </c>
      <c r="K3382" s="3" t="s">
        <v>2278</v>
      </c>
      <c r="L3382" s="4">
        <v>0.28402777777777777</v>
      </c>
      <c r="M3382" s="3" t="s">
        <v>2340</v>
      </c>
      <c r="N3382" s="3" t="s">
        <v>24</v>
      </c>
      <c r="O3382" s="3"/>
    </row>
    <row r="3383" spans="1:15">
      <c r="A3383" s="3" t="s">
        <v>15</v>
      </c>
      <c r="B3383" s="2" t="str">
        <f>"FES1162743774"</f>
        <v>FES1162743774</v>
      </c>
      <c r="C3383" s="3" t="s">
        <v>2280</v>
      </c>
      <c r="D3383" s="3">
        <v>1</v>
      </c>
      <c r="E3383" s="3" t="str">
        <f>"2170735147"</f>
        <v>2170735147</v>
      </c>
      <c r="F3383" s="3" t="s">
        <v>17</v>
      </c>
      <c r="G3383" s="3" t="s">
        <v>18</v>
      </c>
      <c r="H3383" s="3" t="s">
        <v>66</v>
      </c>
      <c r="I3383" s="3" t="s">
        <v>67</v>
      </c>
      <c r="J3383" s="3" t="s">
        <v>67</v>
      </c>
      <c r="K3383" s="3" t="s">
        <v>2278</v>
      </c>
      <c r="L3383" s="4">
        <v>0.28611111111111115</v>
      </c>
      <c r="M3383" s="3" t="s">
        <v>2121</v>
      </c>
      <c r="N3383" s="3" t="s">
        <v>24</v>
      </c>
      <c r="O3383" s="3"/>
    </row>
    <row r="3384" spans="1:15">
      <c r="A3384" s="3" t="s">
        <v>15</v>
      </c>
      <c r="B3384" s="2" t="str">
        <f>"FES1162743763"</f>
        <v>FES1162743763</v>
      </c>
      <c r="C3384" s="3" t="s">
        <v>2280</v>
      </c>
      <c r="D3384" s="3">
        <v>1</v>
      </c>
      <c r="E3384" s="3" t="str">
        <f>"2170735141"</f>
        <v>2170735141</v>
      </c>
      <c r="F3384" s="3" t="s">
        <v>17</v>
      </c>
      <c r="G3384" s="3" t="s">
        <v>18</v>
      </c>
      <c r="H3384" s="3" t="s">
        <v>66</v>
      </c>
      <c r="I3384" s="3" t="s">
        <v>67</v>
      </c>
      <c r="J3384" s="3" t="s">
        <v>67</v>
      </c>
      <c r="K3384" s="3" t="s">
        <v>2278</v>
      </c>
      <c r="L3384" s="4">
        <v>0.28750000000000003</v>
      </c>
      <c r="M3384" s="3" t="s">
        <v>268</v>
      </c>
      <c r="N3384" s="3" t="s">
        <v>24</v>
      </c>
      <c r="O3384" s="3"/>
    </row>
    <row r="3385" spans="1:15">
      <c r="A3385" s="7" t="s">
        <v>15</v>
      </c>
      <c r="B3385" s="12" t="str">
        <f>"FES1162743664"</f>
        <v>FES1162743664</v>
      </c>
      <c r="C3385" s="7" t="s">
        <v>2280</v>
      </c>
      <c r="D3385" s="7">
        <v>1</v>
      </c>
      <c r="E3385" s="7" t="str">
        <f>"2170735072"</f>
        <v>2170735072</v>
      </c>
      <c r="F3385" s="7" t="s">
        <v>17</v>
      </c>
      <c r="G3385" s="7" t="s">
        <v>18</v>
      </c>
      <c r="H3385" s="7" t="s">
        <v>19</v>
      </c>
      <c r="I3385" s="7" t="s">
        <v>20</v>
      </c>
      <c r="J3385" s="7" t="s">
        <v>20</v>
      </c>
      <c r="K3385" s="7" t="s">
        <v>2278</v>
      </c>
      <c r="L3385" s="13">
        <v>0.37291666666666662</v>
      </c>
      <c r="M3385" s="7" t="s">
        <v>448</v>
      </c>
      <c r="N3385" s="7" t="s">
        <v>2282</v>
      </c>
      <c r="O3385" s="7"/>
    </row>
    <row r="3386" spans="1:15">
      <c r="A3386" s="7" t="s">
        <v>15</v>
      </c>
      <c r="B3386" s="12" t="str">
        <f>"FES1162743705"</f>
        <v>FES1162743705</v>
      </c>
      <c r="C3386" s="7" t="s">
        <v>2280</v>
      </c>
      <c r="D3386" s="7">
        <v>1</v>
      </c>
      <c r="E3386" s="7" t="str">
        <f>"2170735077"</f>
        <v>2170735077</v>
      </c>
      <c r="F3386" s="7" t="s">
        <v>17</v>
      </c>
      <c r="G3386" s="7" t="s">
        <v>18</v>
      </c>
      <c r="H3386" s="7" t="s">
        <v>19</v>
      </c>
      <c r="I3386" s="7" t="s">
        <v>20</v>
      </c>
      <c r="J3386" s="7" t="s">
        <v>20</v>
      </c>
      <c r="K3386" s="7" t="s">
        <v>2278</v>
      </c>
      <c r="L3386" s="13">
        <v>0.37291666666666662</v>
      </c>
      <c r="M3386" s="7" t="s">
        <v>448</v>
      </c>
      <c r="N3386" s="7" t="s">
        <v>2282</v>
      </c>
      <c r="O3386" s="7"/>
    </row>
    <row r="3387" spans="1:15">
      <c r="A3387" s="3" t="s">
        <v>15</v>
      </c>
      <c r="B3387" s="2" t="str">
        <f>"FES1162743708"</f>
        <v>FES1162743708</v>
      </c>
      <c r="C3387" s="3" t="s">
        <v>2280</v>
      </c>
      <c r="D3387" s="3">
        <v>1</v>
      </c>
      <c r="E3387" s="3" t="str">
        <f>"2170735082"</f>
        <v>2170735082</v>
      </c>
      <c r="F3387" s="3" t="s">
        <v>17</v>
      </c>
      <c r="G3387" s="3" t="s">
        <v>18</v>
      </c>
      <c r="H3387" s="3" t="s">
        <v>46</v>
      </c>
      <c r="I3387" s="3" t="s">
        <v>47</v>
      </c>
      <c r="J3387" s="3" t="s">
        <v>47</v>
      </c>
      <c r="K3387" s="3" t="s">
        <v>2278</v>
      </c>
      <c r="L3387" s="4">
        <v>0.33263888888888887</v>
      </c>
      <c r="M3387" s="3" t="s">
        <v>2341</v>
      </c>
      <c r="N3387" s="3" t="s">
        <v>24</v>
      </c>
      <c r="O3387" s="3"/>
    </row>
    <row r="3388" spans="1:15">
      <c r="A3388" s="3" t="s">
        <v>15</v>
      </c>
      <c r="B3388" s="2" t="str">
        <f>"FES1162743707"</f>
        <v>FES1162743707</v>
      </c>
      <c r="C3388" s="3" t="s">
        <v>2280</v>
      </c>
      <c r="D3388" s="3">
        <v>1</v>
      </c>
      <c r="E3388" s="3" t="str">
        <f>"2170735081"</f>
        <v>2170735081</v>
      </c>
      <c r="F3388" s="3" t="s">
        <v>17</v>
      </c>
      <c r="G3388" s="3" t="s">
        <v>18</v>
      </c>
      <c r="H3388" s="3" t="s">
        <v>46</v>
      </c>
      <c r="I3388" s="3" t="s">
        <v>47</v>
      </c>
      <c r="J3388" s="3" t="s">
        <v>47</v>
      </c>
      <c r="K3388" s="3" t="s">
        <v>2278</v>
      </c>
      <c r="L3388" s="4">
        <v>0.33194444444444443</v>
      </c>
      <c r="M3388" s="3" t="s">
        <v>2341</v>
      </c>
      <c r="N3388" s="3" t="s">
        <v>24</v>
      </c>
      <c r="O3388" s="3"/>
    </row>
    <row r="3389" spans="1:15">
      <c r="A3389" s="3" t="s">
        <v>15</v>
      </c>
      <c r="B3389" s="2" t="str">
        <f>"FES1162743691"</f>
        <v>FES1162743691</v>
      </c>
      <c r="C3389" s="3" t="s">
        <v>2280</v>
      </c>
      <c r="D3389" s="3">
        <v>1</v>
      </c>
      <c r="E3389" s="3" t="str">
        <f>"2170733617"</f>
        <v>2170733617</v>
      </c>
      <c r="F3389" s="3" t="s">
        <v>17</v>
      </c>
      <c r="G3389" s="3" t="s">
        <v>18</v>
      </c>
      <c r="H3389" s="3" t="s">
        <v>36</v>
      </c>
      <c r="I3389" s="3" t="s">
        <v>37</v>
      </c>
      <c r="J3389" s="3" t="s">
        <v>37</v>
      </c>
      <c r="K3389" s="3" t="s">
        <v>2278</v>
      </c>
      <c r="L3389" s="4">
        <v>0.2951388888888889</v>
      </c>
      <c r="M3389" s="3" t="s">
        <v>2342</v>
      </c>
      <c r="N3389" s="3" t="s">
        <v>24</v>
      </c>
      <c r="O3389" s="3"/>
    </row>
    <row r="3390" spans="1:15">
      <c r="A3390" s="7" t="s">
        <v>15</v>
      </c>
      <c r="B3390" s="12" t="str">
        <f>"FES1162743711"</f>
        <v>FES1162743711</v>
      </c>
      <c r="C3390" s="7" t="s">
        <v>2280</v>
      </c>
      <c r="D3390" s="7">
        <v>1</v>
      </c>
      <c r="E3390" s="7" t="str">
        <f>"2170735089"</f>
        <v>2170735089</v>
      </c>
      <c r="F3390" s="7" t="s">
        <v>17</v>
      </c>
      <c r="G3390" s="7" t="s">
        <v>18</v>
      </c>
      <c r="H3390" s="7" t="s">
        <v>36</v>
      </c>
      <c r="I3390" s="7" t="s">
        <v>37</v>
      </c>
      <c r="J3390" s="7" t="s">
        <v>37</v>
      </c>
      <c r="K3390" s="7" t="s">
        <v>2278</v>
      </c>
      <c r="L3390" s="13">
        <v>0.2951388888888889</v>
      </c>
      <c r="M3390" s="7" t="s">
        <v>448</v>
      </c>
      <c r="N3390" s="7" t="s">
        <v>2282</v>
      </c>
      <c r="O3390" s="7"/>
    </row>
    <row r="3391" spans="1:15">
      <c r="A3391" s="3" t="s">
        <v>15</v>
      </c>
      <c r="B3391" s="2" t="str">
        <f>"FES1162743676"</f>
        <v>FES1162743676</v>
      </c>
      <c r="C3391" s="3" t="s">
        <v>2280</v>
      </c>
      <c r="D3391" s="3">
        <v>1</v>
      </c>
      <c r="E3391" s="3" t="str">
        <f>"2170732092"</f>
        <v>2170732092</v>
      </c>
      <c r="F3391" s="3" t="s">
        <v>17</v>
      </c>
      <c r="G3391" s="3" t="s">
        <v>18</v>
      </c>
      <c r="H3391" s="3" t="s">
        <v>36</v>
      </c>
      <c r="I3391" s="3" t="s">
        <v>330</v>
      </c>
      <c r="J3391" s="3" t="s">
        <v>37</v>
      </c>
      <c r="K3391" s="3" t="s">
        <v>2278</v>
      </c>
      <c r="L3391" s="4">
        <v>0.2951388888888889</v>
      </c>
      <c r="M3391" s="3" t="s">
        <v>2343</v>
      </c>
      <c r="N3391" s="3" t="s">
        <v>24</v>
      </c>
      <c r="O3391" s="3"/>
    </row>
    <row r="3392" spans="1:15">
      <c r="A3392" s="3" t="s">
        <v>15</v>
      </c>
      <c r="B3392" s="2" t="str">
        <f>"FES1162743666"</f>
        <v>FES1162743666</v>
      </c>
      <c r="C3392" s="3" t="s">
        <v>2280</v>
      </c>
      <c r="D3392" s="3">
        <v>1</v>
      </c>
      <c r="E3392" s="3" t="str">
        <f>"2170735074"</f>
        <v>2170735074</v>
      </c>
      <c r="F3392" s="3" t="s">
        <v>17</v>
      </c>
      <c r="G3392" s="3" t="s">
        <v>18</v>
      </c>
      <c r="H3392" s="3" t="s">
        <v>18</v>
      </c>
      <c r="I3392" s="3" t="s">
        <v>29</v>
      </c>
      <c r="J3392" s="3" t="s">
        <v>18</v>
      </c>
      <c r="K3392" s="3" t="s">
        <v>2280</v>
      </c>
      <c r="L3392" s="4">
        <v>0.57430555555555551</v>
      </c>
      <c r="M3392" s="3" t="s">
        <v>2344</v>
      </c>
      <c r="N3392" s="3" t="s">
        <v>24</v>
      </c>
      <c r="O3392" s="3"/>
    </row>
    <row r="3393" spans="1:15">
      <c r="A3393" s="3" t="s">
        <v>15</v>
      </c>
      <c r="B3393" s="2" t="str">
        <f>"FES1162743522"</f>
        <v>FES1162743522</v>
      </c>
      <c r="C3393" s="3" t="s">
        <v>2280</v>
      </c>
      <c r="D3393" s="3">
        <v>1</v>
      </c>
      <c r="E3393" s="3" t="str">
        <f>"2170732924"</f>
        <v>2170732924</v>
      </c>
      <c r="F3393" s="3" t="s">
        <v>17</v>
      </c>
      <c r="G3393" s="3" t="s">
        <v>18</v>
      </c>
      <c r="H3393" s="3" t="s">
        <v>1518</v>
      </c>
      <c r="I3393" s="3" t="s">
        <v>1519</v>
      </c>
      <c r="J3393" s="3" t="s">
        <v>2345</v>
      </c>
      <c r="K3393" s="3" t="s">
        <v>2278</v>
      </c>
      <c r="L3393" s="4">
        <v>0.3354166666666667</v>
      </c>
      <c r="M3393" s="3" t="s">
        <v>2346</v>
      </c>
      <c r="N3393" s="3" t="s">
        <v>24</v>
      </c>
      <c r="O3393" s="3"/>
    </row>
    <row r="3394" spans="1:15">
      <c r="A3394" s="3" t="s">
        <v>15</v>
      </c>
      <c r="B3394" s="2" t="str">
        <f>"FES1162743645"</f>
        <v>FES1162743645</v>
      </c>
      <c r="C3394" s="3" t="s">
        <v>2280</v>
      </c>
      <c r="D3394" s="3">
        <v>1</v>
      </c>
      <c r="E3394" s="3" t="str">
        <f>"2170735052"</f>
        <v>2170735052</v>
      </c>
      <c r="F3394" s="3" t="s">
        <v>17</v>
      </c>
      <c r="G3394" s="3" t="s">
        <v>18</v>
      </c>
      <c r="H3394" s="3" t="s">
        <v>1518</v>
      </c>
      <c r="I3394" s="3" t="s">
        <v>1519</v>
      </c>
      <c r="J3394" s="3" t="s">
        <v>2345</v>
      </c>
      <c r="K3394" s="3" t="s">
        <v>2278</v>
      </c>
      <c r="L3394" s="4">
        <v>0.33055555555555555</v>
      </c>
      <c r="M3394" s="3" t="s">
        <v>2346</v>
      </c>
      <c r="N3394" s="3" t="s">
        <v>24</v>
      </c>
      <c r="O3394" s="3"/>
    </row>
    <row r="3395" spans="1:15">
      <c r="A3395" s="3" t="s">
        <v>15</v>
      </c>
      <c r="B3395" s="2" t="str">
        <f>"FES1162743689"</f>
        <v>FES1162743689</v>
      </c>
      <c r="C3395" s="3" t="s">
        <v>2280</v>
      </c>
      <c r="D3395" s="3">
        <v>1</v>
      </c>
      <c r="E3395" s="3" t="str">
        <f>"2170733406"</f>
        <v>2170733406</v>
      </c>
      <c r="F3395" s="3" t="s">
        <v>17</v>
      </c>
      <c r="G3395" s="3" t="s">
        <v>18</v>
      </c>
      <c r="H3395" s="3" t="s">
        <v>19</v>
      </c>
      <c r="I3395" s="3" t="s">
        <v>51</v>
      </c>
      <c r="J3395" s="3" t="s">
        <v>20</v>
      </c>
      <c r="K3395" s="3" t="s">
        <v>2278</v>
      </c>
      <c r="L3395" s="4">
        <v>0.31805555555555554</v>
      </c>
      <c r="M3395" s="3" t="s">
        <v>448</v>
      </c>
      <c r="N3395" s="3" t="s">
        <v>2331</v>
      </c>
      <c r="O3395" s="3"/>
    </row>
    <row r="3396" spans="1:15">
      <c r="A3396" s="3" t="s">
        <v>15</v>
      </c>
      <c r="B3396" s="2" t="str">
        <f>"FES1162743680"</f>
        <v>FES1162743680</v>
      </c>
      <c r="C3396" s="3" t="s">
        <v>2280</v>
      </c>
      <c r="D3396" s="3">
        <v>1</v>
      </c>
      <c r="E3396" s="3" t="str">
        <f>"2170732924"</f>
        <v>2170732924</v>
      </c>
      <c r="F3396" s="3" t="s">
        <v>17</v>
      </c>
      <c r="G3396" s="3" t="s">
        <v>18</v>
      </c>
      <c r="H3396" s="3" t="s">
        <v>1518</v>
      </c>
      <c r="I3396" s="3" t="s">
        <v>1519</v>
      </c>
      <c r="J3396" s="3" t="s">
        <v>2345</v>
      </c>
      <c r="K3396" s="3" t="s">
        <v>2278</v>
      </c>
      <c r="L3396" s="4">
        <v>0.33749999999999997</v>
      </c>
      <c r="M3396" s="3" t="s">
        <v>2346</v>
      </c>
      <c r="N3396" s="3" t="s">
        <v>24</v>
      </c>
      <c r="O3396" s="3"/>
    </row>
    <row r="3397" spans="1:15">
      <c r="A3397" s="3" t="s">
        <v>15</v>
      </c>
      <c r="B3397" s="2" t="str">
        <f>"FES1162743566"</f>
        <v>FES1162743566</v>
      </c>
      <c r="C3397" s="3" t="s">
        <v>2280</v>
      </c>
      <c r="D3397" s="3">
        <v>1</v>
      </c>
      <c r="E3397" s="3" t="str">
        <f>"2170734820"</f>
        <v>2170734820</v>
      </c>
      <c r="F3397" s="3" t="s">
        <v>17</v>
      </c>
      <c r="G3397" s="3" t="s">
        <v>18</v>
      </c>
      <c r="H3397" s="3" t="s">
        <v>1518</v>
      </c>
      <c r="I3397" s="3" t="s">
        <v>1519</v>
      </c>
      <c r="J3397" s="3" t="s">
        <v>2345</v>
      </c>
      <c r="K3397" s="3" t="s">
        <v>2278</v>
      </c>
      <c r="L3397" s="4">
        <v>0.33749999999999997</v>
      </c>
      <c r="M3397" s="3" t="s">
        <v>2346</v>
      </c>
      <c r="N3397" s="3" t="s">
        <v>24</v>
      </c>
      <c r="O3397" s="3"/>
    </row>
    <row r="3398" spans="1:15">
      <c r="A3398" s="7" t="s">
        <v>15</v>
      </c>
      <c r="B3398" s="12" t="str">
        <f>"009935712245"</f>
        <v>009935712245</v>
      </c>
      <c r="C3398" s="7" t="s">
        <v>2280</v>
      </c>
      <c r="D3398" s="7">
        <v>1</v>
      </c>
      <c r="E3398" s="7" t="str">
        <f>"116733967"</f>
        <v>116733967</v>
      </c>
      <c r="F3398" s="7" t="s">
        <v>17</v>
      </c>
      <c r="G3398" s="7" t="s">
        <v>18</v>
      </c>
      <c r="H3398" s="7" t="s">
        <v>18</v>
      </c>
      <c r="I3398" s="7" t="s">
        <v>29</v>
      </c>
      <c r="J3398" s="7" t="s">
        <v>18</v>
      </c>
      <c r="K3398" s="7" t="s">
        <v>2280</v>
      </c>
      <c r="L3398" s="13">
        <v>0.57430555555555551</v>
      </c>
      <c r="M3398" s="7" t="s">
        <v>2289</v>
      </c>
      <c r="N3398" s="7" t="s">
        <v>2282</v>
      </c>
      <c r="O3398" s="7"/>
    </row>
    <row r="3399" spans="1:15">
      <c r="A3399" s="3" t="s">
        <v>15</v>
      </c>
      <c r="B3399" s="2" t="str">
        <f>"FES1162743779"</f>
        <v>FES1162743779</v>
      </c>
      <c r="C3399" s="3" t="s">
        <v>2280</v>
      </c>
      <c r="D3399" s="3">
        <v>1</v>
      </c>
      <c r="E3399" s="3" t="str">
        <f>"2170735161"</f>
        <v>2170735161</v>
      </c>
      <c r="F3399" s="3" t="s">
        <v>17</v>
      </c>
      <c r="G3399" s="3" t="s">
        <v>18</v>
      </c>
      <c r="H3399" s="3" t="s">
        <v>46</v>
      </c>
      <c r="I3399" s="3" t="s">
        <v>47</v>
      </c>
      <c r="J3399" s="3" t="s">
        <v>47</v>
      </c>
      <c r="K3399" s="3" t="s">
        <v>2278</v>
      </c>
      <c r="L3399" s="4">
        <v>0.33194444444444443</v>
      </c>
      <c r="M3399" s="3" t="s">
        <v>160</v>
      </c>
      <c r="N3399" s="3" t="s">
        <v>24</v>
      </c>
      <c r="O3399" s="3"/>
    </row>
    <row r="3400" spans="1:15">
      <c r="A3400" s="3" t="s">
        <v>15</v>
      </c>
      <c r="B3400" s="2" t="str">
        <f>"FES1162743755"</f>
        <v>FES1162743755</v>
      </c>
      <c r="C3400" s="3" t="s">
        <v>2280</v>
      </c>
      <c r="D3400" s="3">
        <v>1</v>
      </c>
      <c r="E3400" s="3" t="str">
        <f>"2170735133"</f>
        <v>2170735133</v>
      </c>
      <c r="F3400" s="3" t="s">
        <v>17</v>
      </c>
      <c r="G3400" s="3" t="s">
        <v>18</v>
      </c>
      <c r="H3400" s="3" t="s">
        <v>18</v>
      </c>
      <c r="I3400" s="3" t="s">
        <v>171</v>
      </c>
      <c r="J3400" s="3" t="s">
        <v>18</v>
      </c>
      <c r="K3400" s="3" t="s">
        <v>2280</v>
      </c>
      <c r="L3400" s="4">
        <v>0.57430555555555551</v>
      </c>
      <c r="M3400" s="3" t="s">
        <v>2347</v>
      </c>
      <c r="N3400" s="3" t="s">
        <v>24</v>
      </c>
      <c r="O3400" s="3"/>
    </row>
    <row r="3401" spans="1:15">
      <c r="A3401" s="3" t="s">
        <v>15</v>
      </c>
      <c r="B3401" s="2" t="str">
        <f>"FES1162743669"</f>
        <v>FES1162743669</v>
      </c>
      <c r="C3401" s="3" t="s">
        <v>2280</v>
      </c>
      <c r="D3401" s="3">
        <v>1</v>
      </c>
      <c r="E3401" s="3" t="str">
        <f>"2170730729"</f>
        <v>2170730729</v>
      </c>
      <c r="F3401" s="3" t="s">
        <v>17</v>
      </c>
      <c r="G3401" s="3" t="s">
        <v>18</v>
      </c>
      <c r="H3401" s="3" t="s">
        <v>18</v>
      </c>
      <c r="I3401" s="3" t="s">
        <v>29</v>
      </c>
      <c r="J3401" s="3" t="s">
        <v>18</v>
      </c>
      <c r="K3401" s="3" t="s">
        <v>2280</v>
      </c>
      <c r="L3401" s="4">
        <v>0.57430555555555551</v>
      </c>
      <c r="M3401" s="3" t="s">
        <v>1320</v>
      </c>
      <c r="N3401" s="3" t="s">
        <v>24</v>
      </c>
      <c r="O3401" s="3"/>
    </row>
    <row r="3402" spans="1:15">
      <c r="A3402" s="3" t="s">
        <v>15</v>
      </c>
      <c r="B3402" s="2" t="str">
        <f>"FES1162743762"</f>
        <v>FES1162743762</v>
      </c>
      <c r="C3402" s="3" t="s">
        <v>2280</v>
      </c>
      <c r="D3402" s="3">
        <v>1</v>
      </c>
      <c r="E3402" s="3" t="str">
        <f>"2170735140"</f>
        <v>2170735140</v>
      </c>
      <c r="F3402" s="3" t="s">
        <v>17</v>
      </c>
      <c r="G3402" s="3" t="s">
        <v>18</v>
      </c>
      <c r="H3402" s="3" t="s">
        <v>18</v>
      </c>
      <c r="I3402" s="3" t="s">
        <v>171</v>
      </c>
      <c r="J3402" s="3" t="s">
        <v>18</v>
      </c>
      <c r="K3402" s="3" t="s">
        <v>2280</v>
      </c>
      <c r="L3402" s="4">
        <v>0.57430555555555551</v>
      </c>
      <c r="M3402" s="3" t="s">
        <v>691</v>
      </c>
      <c r="N3402" s="3" t="s">
        <v>24</v>
      </c>
      <c r="O3402" s="3"/>
    </row>
    <row r="3403" spans="1:15">
      <c r="A3403" s="3" t="s">
        <v>15</v>
      </c>
      <c r="B3403" s="2" t="str">
        <f>"FES1162743727"</f>
        <v>FES1162743727</v>
      </c>
      <c r="C3403" s="3" t="s">
        <v>2280</v>
      </c>
      <c r="D3403" s="3">
        <v>1</v>
      </c>
      <c r="E3403" s="3" t="str">
        <f>"21707339145"</f>
        <v>21707339145</v>
      </c>
      <c r="F3403" s="3" t="s">
        <v>17</v>
      </c>
      <c r="G3403" s="3" t="s">
        <v>18</v>
      </c>
      <c r="H3403" s="3" t="s">
        <v>18</v>
      </c>
      <c r="I3403" s="3" t="s">
        <v>33</v>
      </c>
      <c r="J3403" s="3" t="s">
        <v>18</v>
      </c>
      <c r="K3403" s="3" t="s">
        <v>2280</v>
      </c>
      <c r="L3403" s="4">
        <v>0.57430555555555551</v>
      </c>
      <c r="M3403" s="3" t="s">
        <v>2337</v>
      </c>
      <c r="N3403" s="3" t="s">
        <v>24</v>
      </c>
      <c r="O3403" s="3"/>
    </row>
    <row r="3404" spans="1:15">
      <c r="A3404" s="7" t="s">
        <v>15</v>
      </c>
      <c r="B3404" s="12" t="str">
        <f>"FES1162743706"</f>
        <v>FES1162743706</v>
      </c>
      <c r="C3404" s="7" t="s">
        <v>2280</v>
      </c>
      <c r="D3404" s="7">
        <v>1</v>
      </c>
      <c r="E3404" s="7" t="str">
        <f>"2170735079"</f>
        <v>2170735079</v>
      </c>
      <c r="F3404" s="7" t="s">
        <v>17</v>
      </c>
      <c r="G3404" s="7" t="s">
        <v>18</v>
      </c>
      <c r="H3404" s="7" t="s">
        <v>18</v>
      </c>
      <c r="I3404" s="7" t="s">
        <v>338</v>
      </c>
      <c r="J3404" s="7" t="s">
        <v>18</v>
      </c>
      <c r="K3404" s="7" t="s">
        <v>2280</v>
      </c>
      <c r="L3404" s="13">
        <v>0.57430555555555551</v>
      </c>
      <c r="M3404" s="7" t="s">
        <v>2289</v>
      </c>
      <c r="N3404" s="7" t="s">
        <v>2282</v>
      </c>
      <c r="O3404" s="7"/>
    </row>
    <row r="3405" spans="1:15">
      <c r="A3405" s="7" t="s">
        <v>15</v>
      </c>
      <c r="B3405" s="12" t="str">
        <f>"FES1162743671"</f>
        <v>FES1162743671</v>
      </c>
      <c r="C3405" s="7" t="s">
        <v>2280</v>
      </c>
      <c r="D3405" s="7">
        <v>1</v>
      </c>
      <c r="E3405" s="7" t="str">
        <f>"2170731157"</f>
        <v>2170731157</v>
      </c>
      <c r="F3405" s="7" t="s">
        <v>17</v>
      </c>
      <c r="G3405" s="7" t="s">
        <v>18</v>
      </c>
      <c r="H3405" s="7" t="s">
        <v>18</v>
      </c>
      <c r="I3405" s="7" t="s">
        <v>33</v>
      </c>
      <c r="J3405" s="7" t="s">
        <v>18</v>
      </c>
      <c r="K3405" s="7" t="s">
        <v>2280</v>
      </c>
      <c r="L3405" s="13">
        <v>0.57430555555555551</v>
      </c>
      <c r="M3405" s="7" t="s">
        <v>448</v>
      </c>
      <c r="N3405" s="7" t="s">
        <v>2282</v>
      </c>
      <c r="O3405" s="7"/>
    </row>
    <row r="3406" spans="1:15">
      <c r="A3406" s="7" t="s">
        <v>15</v>
      </c>
      <c r="B3406" s="12" t="str">
        <f>"FES1162743672"</f>
        <v>FES1162743672</v>
      </c>
      <c r="C3406" s="7" t="s">
        <v>2280</v>
      </c>
      <c r="D3406" s="7">
        <v>1</v>
      </c>
      <c r="E3406" s="7" t="str">
        <f>"2170731159"</f>
        <v>2170731159</v>
      </c>
      <c r="F3406" s="7" t="s">
        <v>17</v>
      </c>
      <c r="G3406" s="7" t="s">
        <v>18</v>
      </c>
      <c r="H3406" s="7" t="s">
        <v>18</v>
      </c>
      <c r="I3406" s="7" t="s">
        <v>33</v>
      </c>
      <c r="J3406" s="7" t="s">
        <v>18</v>
      </c>
      <c r="K3406" s="7" t="s">
        <v>2280</v>
      </c>
      <c r="L3406" s="13">
        <v>0.57430555555555551</v>
      </c>
      <c r="M3406" s="7" t="s">
        <v>448</v>
      </c>
      <c r="N3406" s="7" t="s">
        <v>2282</v>
      </c>
      <c r="O3406" s="7"/>
    </row>
    <row r="3407" spans="1:15">
      <c r="A3407" s="3" t="s">
        <v>15</v>
      </c>
      <c r="B3407" s="2" t="str">
        <f>"FES1162743673"</f>
        <v>FES1162743673</v>
      </c>
      <c r="C3407" s="3" t="s">
        <v>2280</v>
      </c>
      <c r="D3407" s="3">
        <v>1</v>
      </c>
      <c r="E3407" s="3" t="str">
        <f>"2170731255"</f>
        <v>2170731255</v>
      </c>
      <c r="F3407" s="3" t="s">
        <v>17</v>
      </c>
      <c r="G3407" s="3" t="s">
        <v>18</v>
      </c>
      <c r="H3407" s="3" t="s">
        <v>18</v>
      </c>
      <c r="I3407" s="3" t="s">
        <v>29</v>
      </c>
      <c r="J3407" s="3" t="s">
        <v>18</v>
      </c>
      <c r="K3407" s="3" t="s">
        <v>2280</v>
      </c>
      <c r="L3407" s="4">
        <v>0.57430555555555551</v>
      </c>
      <c r="M3407" s="3" t="s">
        <v>1320</v>
      </c>
      <c r="N3407" s="3" t="s">
        <v>24</v>
      </c>
      <c r="O3407" s="3"/>
    </row>
    <row r="3408" spans="1:15">
      <c r="A3408" s="7" t="s">
        <v>15</v>
      </c>
      <c r="B3408" s="12" t="str">
        <f>"FES1162743721"</f>
        <v>FES1162743721</v>
      </c>
      <c r="C3408" s="7" t="s">
        <v>2280</v>
      </c>
      <c r="D3408" s="7">
        <v>1</v>
      </c>
      <c r="E3408" s="7" t="str">
        <f>"2170735101"</f>
        <v>2170735101</v>
      </c>
      <c r="F3408" s="7" t="s">
        <v>17</v>
      </c>
      <c r="G3408" s="7" t="s">
        <v>18</v>
      </c>
      <c r="H3408" s="7" t="s">
        <v>18</v>
      </c>
      <c r="I3408" s="7" t="s">
        <v>341</v>
      </c>
      <c r="J3408" s="7" t="s">
        <v>18</v>
      </c>
      <c r="K3408" s="7" t="s">
        <v>2280</v>
      </c>
      <c r="L3408" s="13">
        <v>0.57430555555555551</v>
      </c>
      <c r="M3408" s="7" t="s">
        <v>448</v>
      </c>
      <c r="N3408" s="7" t="s">
        <v>2282</v>
      </c>
      <c r="O3408" s="7"/>
    </row>
    <row r="3409" spans="1:15">
      <c r="A3409" s="3" t="s">
        <v>15</v>
      </c>
      <c r="B3409" s="2" t="str">
        <f>"FES1162743690"</f>
        <v>FES1162743690</v>
      </c>
      <c r="C3409" s="3" t="s">
        <v>2280</v>
      </c>
      <c r="D3409" s="3">
        <v>1</v>
      </c>
      <c r="E3409" s="3" t="str">
        <f>"2170733566"</f>
        <v>2170733566</v>
      </c>
      <c r="F3409" s="3" t="s">
        <v>17</v>
      </c>
      <c r="G3409" s="3" t="s">
        <v>18</v>
      </c>
      <c r="H3409" s="3" t="s">
        <v>18</v>
      </c>
      <c r="I3409" s="3" t="s">
        <v>29</v>
      </c>
      <c r="J3409" s="3" t="s">
        <v>18</v>
      </c>
      <c r="K3409" s="3" t="s">
        <v>2280</v>
      </c>
      <c r="L3409" s="4">
        <v>0.57430555555555551</v>
      </c>
      <c r="M3409" s="3" t="s">
        <v>1320</v>
      </c>
      <c r="N3409" s="3" t="s">
        <v>24</v>
      </c>
      <c r="O3409" s="3"/>
    </row>
    <row r="3410" spans="1:15">
      <c r="A3410" s="7" t="s">
        <v>15</v>
      </c>
      <c r="B3410" s="12" t="str">
        <f>"FES1162743736"</f>
        <v>FES1162743736</v>
      </c>
      <c r="C3410" s="7" t="s">
        <v>2280</v>
      </c>
      <c r="D3410" s="7">
        <v>1</v>
      </c>
      <c r="E3410" s="7" t="str">
        <f>"2170733993"</f>
        <v>2170733993</v>
      </c>
      <c r="F3410" s="7" t="s">
        <v>17</v>
      </c>
      <c r="G3410" s="7" t="s">
        <v>18</v>
      </c>
      <c r="H3410" s="7" t="s">
        <v>19</v>
      </c>
      <c r="I3410" s="7" t="s">
        <v>51</v>
      </c>
      <c r="J3410" s="7" t="s">
        <v>20</v>
      </c>
      <c r="K3410" s="7" t="s">
        <v>2278</v>
      </c>
      <c r="L3410" s="13">
        <v>0.37152777777777773</v>
      </c>
      <c r="M3410" s="7" t="s">
        <v>448</v>
      </c>
      <c r="N3410" s="7" t="s">
        <v>2282</v>
      </c>
      <c r="O3410" s="7"/>
    </row>
    <row r="3411" spans="1:15">
      <c r="A3411" s="7" t="s">
        <v>15</v>
      </c>
      <c r="B3411" s="12" t="str">
        <f>"FES1162743754"</f>
        <v>FES1162743754</v>
      </c>
      <c r="C3411" s="7" t="s">
        <v>2280</v>
      </c>
      <c r="D3411" s="7">
        <v>1</v>
      </c>
      <c r="E3411" s="7" t="str">
        <f>"2170735131"</f>
        <v>2170735131</v>
      </c>
      <c r="F3411" s="7" t="s">
        <v>17</v>
      </c>
      <c r="G3411" s="7" t="s">
        <v>18</v>
      </c>
      <c r="H3411" s="7" t="s">
        <v>18</v>
      </c>
      <c r="I3411" s="7" t="s">
        <v>341</v>
      </c>
      <c r="J3411" s="7" t="s">
        <v>18</v>
      </c>
      <c r="K3411" s="7" t="s">
        <v>2280</v>
      </c>
      <c r="L3411" s="13">
        <v>0.67708333333333337</v>
      </c>
      <c r="M3411" s="7" t="s">
        <v>448</v>
      </c>
      <c r="N3411" s="7" t="s">
        <v>2282</v>
      </c>
      <c r="O3411" s="7"/>
    </row>
    <row r="3412" spans="1:15">
      <c r="A3412" s="7" t="s">
        <v>15</v>
      </c>
      <c r="B3412" s="12" t="str">
        <f>"FES116274662"</f>
        <v>FES116274662</v>
      </c>
      <c r="C3412" s="7" t="s">
        <v>2280</v>
      </c>
      <c r="D3412" s="7">
        <v>1</v>
      </c>
      <c r="E3412" s="7" t="str">
        <f>"2170734003"</f>
        <v>2170734003</v>
      </c>
      <c r="F3412" s="7" t="s">
        <v>17</v>
      </c>
      <c r="G3412" s="7" t="s">
        <v>18</v>
      </c>
      <c r="H3412" s="7" t="s">
        <v>18</v>
      </c>
      <c r="I3412" s="7" t="s">
        <v>29</v>
      </c>
      <c r="J3412" s="7" t="s">
        <v>18</v>
      </c>
      <c r="K3412" s="7" t="s">
        <v>2280</v>
      </c>
      <c r="L3412" s="13">
        <v>0.67708333333333337</v>
      </c>
      <c r="M3412" s="7" t="s">
        <v>448</v>
      </c>
      <c r="N3412" s="7" t="s">
        <v>2282</v>
      </c>
      <c r="O3412" s="7"/>
    </row>
    <row r="3413" spans="1:15">
      <c r="A3413" s="3" t="s">
        <v>15</v>
      </c>
      <c r="B3413" s="2" t="str">
        <f>"FES1162743753"</f>
        <v>FES1162743753</v>
      </c>
      <c r="C3413" s="3" t="s">
        <v>2280</v>
      </c>
      <c r="D3413" s="3">
        <v>1</v>
      </c>
      <c r="E3413" s="3" t="str">
        <f>"2170735130"</f>
        <v>2170735130</v>
      </c>
      <c r="F3413" s="3" t="s">
        <v>17</v>
      </c>
      <c r="G3413" s="3" t="s">
        <v>18</v>
      </c>
      <c r="H3413" s="3" t="s">
        <v>100</v>
      </c>
      <c r="I3413" s="3" t="s">
        <v>101</v>
      </c>
      <c r="J3413" s="3" t="s">
        <v>101</v>
      </c>
      <c r="K3413" s="3" t="s">
        <v>2278</v>
      </c>
      <c r="L3413" s="4">
        <v>0.22152777777777777</v>
      </c>
      <c r="M3413" s="3" t="s">
        <v>2348</v>
      </c>
      <c r="N3413" s="3" t="s">
        <v>24</v>
      </c>
      <c r="O3413" s="3"/>
    </row>
    <row r="3414" spans="1:15">
      <c r="A3414" s="7" t="s">
        <v>15</v>
      </c>
      <c r="B3414" s="12" t="str">
        <f>"FES1162743776"</f>
        <v>FES1162743776</v>
      </c>
      <c r="C3414" s="7" t="s">
        <v>2280</v>
      </c>
      <c r="D3414" s="7">
        <v>1</v>
      </c>
      <c r="E3414" s="7" t="str">
        <f>"2170735153"</f>
        <v>2170735153</v>
      </c>
      <c r="F3414" s="7" t="s">
        <v>17</v>
      </c>
      <c r="G3414" s="7" t="s">
        <v>18</v>
      </c>
      <c r="H3414" s="7" t="s">
        <v>18</v>
      </c>
      <c r="I3414" s="7" t="s">
        <v>33</v>
      </c>
      <c r="J3414" s="7" t="s">
        <v>18</v>
      </c>
      <c r="K3414" s="7" t="s">
        <v>2280</v>
      </c>
      <c r="L3414" s="13">
        <v>0.67708333333333337</v>
      </c>
      <c r="M3414" s="7" t="s">
        <v>448</v>
      </c>
      <c r="N3414" s="7" t="s">
        <v>2282</v>
      </c>
      <c r="O3414" s="7"/>
    </row>
    <row r="3415" spans="1:15">
      <c r="A3415" s="14" t="s">
        <v>15</v>
      </c>
      <c r="B3415" s="15" t="str">
        <f>"FES1162743752"</f>
        <v>FES1162743752</v>
      </c>
      <c r="C3415" s="14" t="s">
        <v>2280</v>
      </c>
      <c r="D3415" s="14">
        <v>1</v>
      </c>
      <c r="E3415" s="14" t="str">
        <f>"21707315281"</f>
        <v>21707315281</v>
      </c>
      <c r="F3415" s="14" t="s">
        <v>17</v>
      </c>
      <c r="G3415" s="14" t="s">
        <v>18</v>
      </c>
      <c r="H3415" s="14" t="s">
        <v>70</v>
      </c>
      <c r="I3415" s="14" t="s">
        <v>931</v>
      </c>
      <c r="J3415" s="14"/>
      <c r="K3415" s="14"/>
      <c r="L3415" s="14" t="s">
        <v>2293</v>
      </c>
      <c r="M3415" s="14" t="s">
        <v>448</v>
      </c>
      <c r="N3415" s="14" t="s">
        <v>2331</v>
      </c>
      <c r="O3415" s="14"/>
    </row>
    <row r="3416" spans="1:15">
      <c r="A3416" s="7" t="s">
        <v>15</v>
      </c>
      <c r="B3416" s="12" t="str">
        <f>"FES1162743767"</f>
        <v>FES1162743767</v>
      </c>
      <c r="C3416" s="7" t="s">
        <v>2280</v>
      </c>
      <c r="D3416" s="7">
        <v>1</v>
      </c>
      <c r="E3416" s="7" t="str">
        <f>"2170732981"</f>
        <v>2170732981</v>
      </c>
      <c r="F3416" s="7" t="s">
        <v>17</v>
      </c>
      <c r="G3416" s="7" t="s">
        <v>18</v>
      </c>
      <c r="H3416" s="7" t="s">
        <v>18</v>
      </c>
      <c r="I3416" s="7" t="s">
        <v>168</v>
      </c>
      <c r="J3416" s="7" t="s">
        <v>18</v>
      </c>
      <c r="K3416" s="7" t="s">
        <v>2280</v>
      </c>
      <c r="L3416" s="13">
        <v>0.67708333333333337</v>
      </c>
      <c r="M3416" s="7" t="s">
        <v>2289</v>
      </c>
      <c r="N3416" s="7" t="s">
        <v>2282</v>
      </c>
      <c r="O3416" s="7"/>
    </row>
    <row r="3417" spans="1:15">
      <c r="A3417" s="7" t="s">
        <v>15</v>
      </c>
      <c r="B3417" s="12" t="str">
        <f>"FES1162743751"</f>
        <v>FES1162743751</v>
      </c>
      <c r="C3417" s="7" t="s">
        <v>2280</v>
      </c>
      <c r="D3417" s="7">
        <v>1</v>
      </c>
      <c r="E3417" s="7" t="str">
        <f>"2170735127"</f>
        <v>2170735127</v>
      </c>
      <c r="F3417" s="7" t="s">
        <v>17</v>
      </c>
      <c r="G3417" s="7" t="s">
        <v>18</v>
      </c>
      <c r="H3417" s="7" t="s">
        <v>19</v>
      </c>
      <c r="I3417" s="7" t="s">
        <v>86</v>
      </c>
      <c r="J3417" s="7" t="s">
        <v>20</v>
      </c>
      <c r="K3417" s="7" t="s">
        <v>2278</v>
      </c>
      <c r="L3417" s="13">
        <v>0.31944444444444448</v>
      </c>
      <c r="M3417" s="7" t="s">
        <v>448</v>
      </c>
      <c r="N3417" s="7" t="s">
        <v>2282</v>
      </c>
      <c r="O3417" s="7"/>
    </row>
    <row r="3418" spans="1:15">
      <c r="A3418" s="14" t="s">
        <v>15</v>
      </c>
      <c r="B3418" s="15" t="s">
        <v>2349</v>
      </c>
      <c r="C3418" s="14" t="s">
        <v>2280</v>
      </c>
      <c r="D3418" s="14">
        <v>1</v>
      </c>
      <c r="E3418" s="14" t="str">
        <f>"21707315135"</f>
        <v>21707315135</v>
      </c>
      <c r="F3418" s="14" t="s">
        <v>17</v>
      </c>
      <c r="G3418" s="14" t="s">
        <v>18</v>
      </c>
      <c r="H3418" s="14" t="s">
        <v>19</v>
      </c>
      <c r="I3418" s="14" t="s">
        <v>20</v>
      </c>
      <c r="J3418" s="14" t="s">
        <v>20</v>
      </c>
      <c r="K3418" s="14" t="s">
        <v>2278</v>
      </c>
      <c r="L3418" s="16">
        <v>0.31805555555555554</v>
      </c>
      <c r="M3418" s="14" t="s">
        <v>448</v>
      </c>
      <c r="N3418" s="14" t="s">
        <v>2331</v>
      </c>
      <c r="O3418" s="14"/>
    </row>
    <row r="3419" spans="1:15">
      <c r="A3419" s="14" t="s">
        <v>15</v>
      </c>
      <c r="B3419" s="15" t="str">
        <f>"FES1162743757"</f>
        <v>FES1162743757</v>
      </c>
      <c r="C3419" s="14" t="s">
        <v>2280</v>
      </c>
      <c r="D3419" s="14">
        <v>1</v>
      </c>
      <c r="E3419" s="14" t="str">
        <f>"21707315136"</f>
        <v>21707315136</v>
      </c>
      <c r="F3419" s="14" t="s">
        <v>17</v>
      </c>
      <c r="G3419" s="14" t="s">
        <v>18</v>
      </c>
      <c r="H3419" s="14" t="s">
        <v>19</v>
      </c>
      <c r="I3419" s="14" t="s">
        <v>277</v>
      </c>
      <c r="J3419" s="14" t="s">
        <v>20</v>
      </c>
      <c r="K3419" s="14" t="s">
        <v>2278</v>
      </c>
      <c r="L3419" s="16">
        <v>0.32013888888888892</v>
      </c>
      <c r="M3419" s="14" t="s">
        <v>448</v>
      </c>
      <c r="N3419" s="14" t="s">
        <v>2331</v>
      </c>
      <c r="O3419" s="14"/>
    </row>
    <row r="3420" spans="1:15">
      <c r="A3420" s="3" t="s">
        <v>15</v>
      </c>
      <c r="B3420" s="2" t="str">
        <f>"FES1162743784"</f>
        <v>FES1162743784</v>
      </c>
      <c r="C3420" s="3" t="s">
        <v>2280</v>
      </c>
      <c r="D3420" s="3">
        <v>1</v>
      </c>
      <c r="E3420" s="3" t="str">
        <f>"2170735173"</f>
        <v>2170735173</v>
      </c>
      <c r="F3420" s="3" t="s">
        <v>17</v>
      </c>
      <c r="G3420" s="3" t="s">
        <v>18</v>
      </c>
      <c r="H3420" s="3" t="s">
        <v>18</v>
      </c>
      <c r="I3420" s="3" t="s">
        <v>29</v>
      </c>
      <c r="J3420" s="3" t="s">
        <v>18</v>
      </c>
      <c r="K3420" s="3" t="s">
        <v>2280</v>
      </c>
      <c r="L3420" s="4">
        <v>0.67708333333333337</v>
      </c>
      <c r="M3420" s="3" t="s">
        <v>2350</v>
      </c>
      <c r="N3420" s="3" t="s">
        <v>24</v>
      </c>
      <c r="O3420" s="3"/>
    </row>
    <row r="3421" spans="1:15">
      <c r="A3421" s="7" t="s">
        <v>15</v>
      </c>
      <c r="B3421" s="12" t="str">
        <f>"FES1162743737"</f>
        <v>FES1162743737</v>
      </c>
      <c r="C3421" s="7" t="s">
        <v>2280</v>
      </c>
      <c r="D3421" s="7">
        <v>1</v>
      </c>
      <c r="E3421" s="7" t="str">
        <f>"2170735116"</f>
        <v>2170735116</v>
      </c>
      <c r="F3421" s="7" t="s">
        <v>17</v>
      </c>
      <c r="G3421" s="7" t="s">
        <v>18</v>
      </c>
      <c r="H3421" s="7" t="s">
        <v>19</v>
      </c>
      <c r="I3421" s="7" t="s">
        <v>20</v>
      </c>
      <c r="J3421" s="7" t="s">
        <v>20</v>
      </c>
      <c r="K3421" s="7" t="s">
        <v>2278</v>
      </c>
      <c r="L3421" s="13">
        <v>0.37222222222222223</v>
      </c>
      <c r="M3421" s="7" t="s">
        <v>448</v>
      </c>
      <c r="N3421" s="7" t="s">
        <v>2282</v>
      </c>
      <c r="O3421" s="7"/>
    </row>
    <row r="3422" spans="1:15">
      <c r="A3422" s="7" t="s">
        <v>15</v>
      </c>
      <c r="B3422" s="12" t="str">
        <f>"FES1162743780"</f>
        <v>FES1162743780</v>
      </c>
      <c r="C3422" s="7" t="s">
        <v>2280</v>
      </c>
      <c r="D3422" s="7">
        <v>1</v>
      </c>
      <c r="E3422" s="7" t="str">
        <f>"2170735164"</f>
        <v>2170735164</v>
      </c>
      <c r="F3422" s="7" t="s">
        <v>17</v>
      </c>
      <c r="G3422" s="7" t="s">
        <v>18</v>
      </c>
      <c r="H3422" s="7" t="s">
        <v>18</v>
      </c>
      <c r="I3422" s="7" t="s">
        <v>341</v>
      </c>
      <c r="J3422" s="7" t="s">
        <v>18</v>
      </c>
      <c r="K3422" s="7" t="s">
        <v>2280</v>
      </c>
      <c r="L3422" s="13">
        <v>0.67708333333333337</v>
      </c>
      <c r="M3422" s="7" t="s">
        <v>448</v>
      </c>
      <c r="N3422" s="7" t="s">
        <v>2282</v>
      </c>
      <c r="O3422" s="7"/>
    </row>
    <row r="3423" spans="1:15">
      <c r="A3423" s="7" t="s">
        <v>15</v>
      </c>
      <c r="B3423" s="12" t="str">
        <f>"FES1162743793"</f>
        <v>FES1162743793</v>
      </c>
      <c r="C3423" s="7" t="s">
        <v>2280</v>
      </c>
      <c r="D3423" s="7">
        <v>1</v>
      </c>
      <c r="E3423" s="7" t="str">
        <f>"2170732344"</f>
        <v>2170732344</v>
      </c>
      <c r="F3423" s="7" t="s">
        <v>17</v>
      </c>
      <c r="G3423" s="7" t="s">
        <v>18</v>
      </c>
      <c r="H3423" s="7" t="s">
        <v>46</v>
      </c>
      <c r="I3423" s="7" t="s">
        <v>47</v>
      </c>
      <c r="J3423" s="7" t="s">
        <v>47</v>
      </c>
      <c r="K3423" s="7" t="s">
        <v>2278</v>
      </c>
      <c r="L3423" s="13">
        <v>0.32847222222222222</v>
      </c>
      <c r="M3423" s="7" t="s">
        <v>448</v>
      </c>
      <c r="N3423" s="7" t="s">
        <v>2282</v>
      </c>
      <c r="O3423" s="7"/>
    </row>
    <row r="3424" spans="1:15">
      <c r="A3424" s="7" t="s">
        <v>15</v>
      </c>
      <c r="B3424" s="12" t="str">
        <f>"FES1162743789"</f>
        <v>FES1162743789</v>
      </c>
      <c r="C3424" s="7" t="s">
        <v>2280</v>
      </c>
      <c r="D3424" s="7">
        <v>1</v>
      </c>
      <c r="E3424" s="7" t="str">
        <f>"2170731589"</f>
        <v>2170731589</v>
      </c>
      <c r="F3424" s="7" t="s">
        <v>17</v>
      </c>
      <c r="G3424" s="7" t="s">
        <v>18</v>
      </c>
      <c r="H3424" s="7" t="s">
        <v>100</v>
      </c>
      <c r="I3424" s="7" t="s">
        <v>101</v>
      </c>
      <c r="J3424" s="7" t="s">
        <v>101</v>
      </c>
      <c r="K3424" s="7" t="s">
        <v>2278</v>
      </c>
      <c r="L3424" s="13">
        <v>0.20833333333333334</v>
      </c>
      <c r="M3424" s="7" t="s">
        <v>448</v>
      </c>
      <c r="N3424" s="7" t="s">
        <v>2282</v>
      </c>
      <c r="O3424" s="7"/>
    </row>
    <row r="3425" spans="1:15">
      <c r="A3425" s="7" t="s">
        <v>15</v>
      </c>
      <c r="B3425" s="12" t="str">
        <f>"FES1162743790"</f>
        <v>FES1162743790</v>
      </c>
      <c r="C3425" s="7" t="s">
        <v>2280</v>
      </c>
      <c r="D3425" s="7">
        <v>1</v>
      </c>
      <c r="E3425" s="7" t="str">
        <f>"21707315791"</f>
        <v>21707315791</v>
      </c>
      <c r="F3425" s="7" t="s">
        <v>17</v>
      </c>
      <c r="G3425" s="7" t="s">
        <v>18</v>
      </c>
      <c r="H3425" s="7" t="s">
        <v>36</v>
      </c>
      <c r="I3425" s="7" t="s">
        <v>37</v>
      </c>
      <c r="J3425" s="7" t="s">
        <v>37</v>
      </c>
      <c r="K3425" s="7" t="s">
        <v>2278</v>
      </c>
      <c r="L3425" s="13">
        <v>0.29722222222222222</v>
      </c>
      <c r="M3425" s="7" t="s">
        <v>448</v>
      </c>
      <c r="N3425" s="7" t="s">
        <v>2282</v>
      </c>
      <c r="O3425" s="7"/>
    </row>
    <row r="3426" spans="1:15">
      <c r="A3426" s="3" t="s">
        <v>15</v>
      </c>
      <c r="B3426" s="2" t="str">
        <f>"FES1162743794"</f>
        <v>FES1162743794</v>
      </c>
      <c r="C3426" s="3" t="s">
        <v>2280</v>
      </c>
      <c r="D3426" s="3">
        <v>1</v>
      </c>
      <c r="E3426" s="3" t="str">
        <f>"2170733888"</f>
        <v>2170733888</v>
      </c>
      <c r="F3426" s="3" t="s">
        <v>17</v>
      </c>
      <c r="G3426" s="3" t="s">
        <v>18</v>
      </c>
      <c r="H3426" s="3" t="s">
        <v>18</v>
      </c>
      <c r="I3426" s="3" t="s">
        <v>33</v>
      </c>
      <c r="J3426" s="3" t="s">
        <v>18</v>
      </c>
      <c r="K3426" s="3" t="s">
        <v>2280</v>
      </c>
      <c r="L3426" s="4">
        <v>0.67708333333333337</v>
      </c>
      <c r="M3426" s="3" t="s">
        <v>2351</v>
      </c>
      <c r="N3426" s="3" t="s">
        <v>24</v>
      </c>
      <c r="O3426" s="3"/>
    </row>
    <row r="3427" spans="1:15">
      <c r="A3427" s="7" t="s">
        <v>15</v>
      </c>
      <c r="B3427" s="12" t="str">
        <f>"FES1162743787"</f>
        <v>FES1162743787</v>
      </c>
      <c r="C3427" s="7" t="s">
        <v>2280</v>
      </c>
      <c r="D3427" s="7">
        <v>1</v>
      </c>
      <c r="E3427" s="7" t="str">
        <f>"2170735181"</f>
        <v>2170735181</v>
      </c>
      <c r="F3427" s="7" t="s">
        <v>17</v>
      </c>
      <c r="G3427" s="7" t="s">
        <v>18</v>
      </c>
      <c r="H3427" s="7" t="s">
        <v>66</v>
      </c>
      <c r="I3427" s="7" t="s">
        <v>67</v>
      </c>
      <c r="J3427" s="7" t="s">
        <v>67</v>
      </c>
      <c r="K3427" s="7" t="s">
        <v>2278</v>
      </c>
      <c r="L3427" s="13">
        <v>0.29097222222222224</v>
      </c>
      <c r="M3427" s="7" t="s">
        <v>448</v>
      </c>
      <c r="N3427" s="7" t="s">
        <v>2282</v>
      </c>
      <c r="O3427" s="7"/>
    </row>
    <row r="3428" spans="1:15">
      <c r="A3428" s="3" t="s">
        <v>15</v>
      </c>
      <c r="B3428" s="2" t="str">
        <f>"FES1162743785"</f>
        <v>FES1162743785</v>
      </c>
      <c r="C3428" s="3" t="s">
        <v>2280</v>
      </c>
      <c r="D3428" s="3">
        <v>1</v>
      </c>
      <c r="E3428" s="3" t="str">
        <f>"2170735176"</f>
        <v>2170735176</v>
      </c>
      <c r="F3428" s="3" t="s">
        <v>17</v>
      </c>
      <c r="G3428" s="3" t="s">
        <v>18</v>
      </c>
      <c r="H3428" s="3" t="s">
        <v>100</v>
      </c>
      <c r="I3428" s="3" t="s">
        <v>262</v>
      </c>
      <c r="J3428" s="3" t="s">
        <v>101</v>
      </c>
      <c r="K3428" s="3" t="s">
        <v>2278</v>
      </c>
      <c r="L3428" s="4">
        <v>0.22222222222222221</v>
      </c>
      <c r="M3428" s="3" t="s">
        <v>409</v>
      </c>
      <c r="N3428" s="3" t="s">
        <v>24</v>
      </c>
      <c r="O3428" s="3"/>
    </row>
    <row r="3429" spans="1:15">
      <c r="A3429" s="7" t="s">
        <v>15</v>
      </c>
      <c r="B3429" s="12" t="str">
        <f>"FES1162743796"</f>
        <v>FES1162743796</v>
      </c>
      <c r="C3429" s="7" t="s">
        <v>2280</v>
      </c>
      <c r="D3429" s="7">
        <v>2</v>
      </c>
      <c r="E3429" s="7" t="str">
        <f>"2170734267"</f>
        <v>2170734267</v>
      </c>
      <c r="F3429" s="7" t="s">
        <v>17</v>
      </c>
      <c r="G3429" s="7" t="s">
        <v>18</v>
      </c>
      <c r="H3429" s="7" t="s">
        <v>100</v>
      </c>
      <c r="I3429" s="7" t="s">
        <v>101</v>
      </c>
      <c r="J3429" s="7" t="s">
        <v>101</v>
      </c>
      <c r="K3429" s="7" t="s">
        <v>2278</v>
      </c>
      <c r="L3429" s="13">
        <v>0.21111111111111111</v>
      </c>
      <c r="M3429" s="7" t="s">
        <v>448</v>
      </c>
      <c r="N3429" s="7" t="s">
        <v>2282</v>
      </c>
      <c r="O3429" s="7"/>
    </row>
    <row r="3430" spans="1:15">
      <c r="A3430" s="3" t="s">
        <v>15</v>
      </c>
      <c r="B3430" s="2" t="str">
        <f>"FES1162743791"</f>
        <v>FES1162743791</v>
      </c>
      <c r="C3430" s="3" t="s">
        <v>2280</v>
      </c>
      <c r="D3430" s="3">
        <v>1</v>
      </c>
      <c r="E3430" s="3" t="str">
        <f>"2170731591"</f>
        <v>2170731591</v>
      </c>
      <c r="F3430" s="3" t="s">
        <v>17</v>
      </c>
      <c r="G3430" s="3" t="s">
        <v>18</v>
      </c>
      <c r="H3430" s="3" t="s">
        <v>19</v>
      </c>
      <c r="I3430" s="3" t="s">
        <v>20</v>
      </c>
      <c r="J3430" s="3" t="s">
        <v>20</v>
      </c>
      <c r="K3430" s="3" t="s">
        <v>2278</v>
      </c>
      <c r="L3430" s="4">
        <v>0.32222222222222224</v>
      </c>
      <c r="M3430" s="3" t="s">
        <v>448</v>
      </c>
      <c r="N3430" s="3" t="s">
        <v>2331</v>
      </c>
      <c r="O3430" s="3"/>
    </row>
    <row r="3431" spans="1:15">
      <c r="A3431" s="3" t="s">
        <v>15</v>
      </c>
      <c r="B3431" s="2" t="str">
        <f>"FES1162743801"</f>
        <v>FES1162743801</v>
      </c>
      <c r="C3431" s="3" t="s">
        <v>2280</v>
      </c>
      <c r="D3431" s="3">
        <v>1</v>
      </c>
      <c r="E3431" s="3" t="str">
        <f>"2170731595"</f>
        <v>2170731595</v>
      </c>
      <c r="F3431" s="3" t="s">
        <v>17</v>
      </c>
      <c r="G3431" s="3" t="s">
        <v>18</v>
      </c>
      <c r="H3431" s="3" t="s">
        <v>19</v>
      </c>
      <c r="I3431" s="3" t="s">
        <v>20</v>
      </c>
      <c r="J3431" s="3" t="s">
        <v>20</v>
      </c>
      <c r="K3431" s="3" t="s">
        <v>2278</v>
      </c>
      <c r="L3431" s="4">
        <v>0.32013888888888892</v>
      </c>
      <c r="M3431" s="3" t="s">
        <v>448</v>
      </c>
      <c r="N3431" s="3" t="s">
        <v>2331</v>
      </c>
      <c r="O3431" s="3"/>
    </row>
    <row r="3432" spans="1:15">
      <c r="A3432" s="3" t="s">
        <v>15</v>
      </c>
      <c r="B3432" s="2" t="str">
        <f>"FES1162743749"</f>
        <v>FES1162743749</v>
      </c>
      <c r="C3432" s="3" t="s">
        <v>2280</v>
      </c>
      <c r="D3432" s="3">
        <v>1</v>
      </c>
      <c r="E3432" s="3" t="str">
        <f>"2170735126"</f>
        <v>2170735126</v>
      </c>
      <c r="F3432" s="3" t="s">
        <v>17</v>
      </c>
      <c r="G3432" s="3" t="s">
        <v>18</v>
      </c>
      <c r="H3432" s="3" t="s">
        <v>19</v>
      </c>
      <c r="I3432" s="3" t="s">
        <v>86</v>
      </c>
      <c r="J3432" s="3" t="s">
        <v>20</v>
      </c>
      <c r="K3432" s="3" t="s">
        <v>2278</v>
      </c>
      <c r="L3432" s="4">
        <v>0.32013888888888892</v>
      </c>
      <c r="M3432" s="3" t="s">
        <v>448</v>
      </c>
      <c r="N3432" s="3" t="s">
        <v>2331</v>
      </c>
      <c r="O3432" s="3"/>
    </row>
    <row r="3433" spans="1:15">
      <c r="A3433" s="7" t="s">
        <v>15</v>
      </c>
      <c r="B3433" s="12" t="str">
        <f>"FES1162743788"</f>
        <v>FES1162743788</v>
      </c>
      <c r="C3433" s="7" t="s">
        <v>2280</v>
      </c>
      <c r="D3433" s="7">
        <v>1</v>
      </c>
      <c r="E3433" s="7" t="str">
        <f>"2170735185"</f>
        <v>2170735185</v>
      </c>
      <c r="F3433" s="7" t="s">
        <v>17</v>
      </c>
      <c r="G3433" s="7" t="s">
        <v>18</v>
      </c>
      <c r="H3433" s="7" t="s">
        <v>19</v>
      </c>
      <c r="I3433" s="7" t="s">
        <v>20</v>
      </c>
      <c r="J3433" s="7" t="s">
        <v>20</v>
      </c>
      <c r="K3433" s="7" t="s">
        <v>2278</v>
      </c>
      <c r="L3433" s="13">
        <v>0.37222222222222223</v>
      </c>
      <c r="M3433" s="7" t="s">
        <v>448</v>
      </c>
      <c r="N3433" s="7" t="s">
        <v>2282</v>
      </c>
      <c r="O3433" s="7"/>
    </row>
    <row r="3434" spans="1:15">
      <c r="A3434" s="7" t="s">
        <v>15</v>
      </c>
      <c r="B3434" s="12" t="str">
        <f>"FES1162743812"</f>
        <v>FES1162743812</v>
      </c>
      <c r="C3434" s="7" t="s">
        <v>2280</v>
      </c>
      <c r="D3434" s="7">
        <v>1</v>
      </c>
      <c r="E3434" s="7" t="str">
        <f>"2170734813"</f>
        <v>2170734813</v>
      </c>
      <c r="F3434" s="7" t="s">
        <v>17</v>
      </c>
      <c r="G3434" s="7" t="s">
        <v>18</v>
      </c>
      <c r="H3434" s="7" t="s">
        <v>100</v>
      </c>
      <c r="I3434" s="7" t="s">
        <v>101</v>
      </c>
      <c r="J3434" s="7" t="s">
        <v>101</v>
      </c>
      <c r="K3434" s="7" t="s">
        <v>2278</v>
      </c>
      <c r="L3434" s="13">
        <v>0.20833333333333334</v>
      </c>
      <c r="M3434" s="7" t="s">
        <v>448</v>
      </c>
      <c r="N3434" s="7" t="s">
        <v>2282</v>
      </c>
      <c r="O3434" s="7"/>
    </row>
    <row r="3435" spans="1:15">
      <c r="A3435" s="7" t="s">
        <v>15</v>
      </c>
      <c r="B3435" s="12" t="str">
        <f>"FES1162743795"</f>
        <v>FES1162743795</v>
      </c>
      <c r="C3435" s="7" t="s">
        <v>2280</v>
      </c>
      <c r="D3435" s="7">
        <v>1</v>
      </c>
      <c r="E3435" s="7" t="str">
        <f>"2170734323"</f>
        <v>2170734323</v>
      </c>
      <c r="F3435" s="7" t="s">
        <v>17</v>
      </c>
      <c r="G3435" s="7" t="s">
        <v>18</v>
      </c>
      <c r="H3435" s="7" t="s">
        <v>19</v>
      </c>
      <c r="I3435" s="7" t="s">
        <v>51</v>
      </c>
      <c r="J3435" s="7" t="s">
        <v>20</v>
      </c>
      <c r="K3435" s="7" t="s">
        <v>2278</v>
      </c>
      <c r="L3435" s="13">
        <v>0.32222222222222224</v>
      </c>
      <c r="M3435" s="7" t="s">
        <v>448</v>
      </c>
      <c r="N3435" s="7" t="s">
        <v>2282</v>
      </c>
      <c r="O3435" s="7"/>
    </row>
    <row r="3436" spans="1:15">
      <c r="A3436" s="3" t="s">
        <v>15</v>
      </c>
      <c r="B3436" s="2" t="str">
        <f>"FES1162743797"</f>
        <v>FES1162743797</v>
      </c>
      <c r="C3436" s="3" t="s">
        <v>2280</v>
      </c>
      <c r="D3436" s="3">
        <v>1</v>
      </c>
      <c r="E3436" s="3" t="str">
        <f>"2170734907"</f>
        <v>2170734907</v>
      </c>
      <c r="F3436" s="3" t="s">
        <v>17</v>
      </c>
      <c r="G3436" s="3" t="s">
        <v>18</v>
      </c>
      <c r="H3436" s="3" t="s">
        <v>70</v>
      </c>
      <c r="I3436" s="3" t="s">
        <v>507</v>
      </c>
      <c r="J3436" s="3"/>
      <c r="K3436" s="3"/>
      <c r="L3436" s="3" t="s">
        <v>2293</v>
      </c>
      <c r="M3436" s="3" t="s">
        <v>448</v>
      </c>
      <c r="N3436" s="3" t="s">
        <v>2331</v>
      </c>
      <c r="O3436" s="3"/>
    </row>
    <row r="3437" spans="1:15">
      <c r="A3437" s="3" t="s">
        <v>15</v>
      </c>
      <c r="B3437" s="2" t="str">
        <f>"FES1162743800"</f>
        <v>FES1162743800</v>
      </c>
      <c r="C3437" s="3" t="s">
        <v>2280</v>
      </c>
      <c r="D3437" s="3">
        <v>1</v>
      </c>
      <c r="E3437" s="3" t="str">
        <f>"2170735193"</f>
        <v>2170735193</v>
      </c>
      <c r="F3437" s="3" t="s">
        <v>17</v>
      </c>
      <c r="G3437" s="3" t="s">
        <v>18</v>
      </c>
      <c r="H3437" s="3" t="s">
        <v>19</v>
      </c>
      <c r="I3437" s="3" t="s">
        <v>890</v>
      </c>
      <c r="J3437" s="3" t="s">
        <v>20</v>
      </c>
      <c r="K3437" s="3" t="s">
        <v>2278</v>
      </c>
      <c r="L3437" s="4">
        <v>0.32083333333333336</v>
      </c>
      <c r="M3437" s="3" t="s">
        <v>448</v>
      </c>
      <c r="N3437" s="3" t="s">
        <v>2331</v>
      </c>
      <c r="O3437" s="3"/>
    </row>
    <row r="3438" spans="1:15">
      <c r="A3438" s="7" t="s">
        <v>15</v>
      </c>
      <c r="B3438" s="12" t="s">
        <v>2352</v>
      </c>
      <c r="C3438" s="7" t="s">
        <v>2280</v>
      </c>
      <c r="D3438" s="7">
        <v>1</v>
      </c>
      <c r="E3438" s="7" t="str">
        <f>"2170735200"</f>
        <v>2170735200</v>
      </c>
      <c r="F3438" s="7" t="s">
        <v>17</v>
      </c>
      <c r="G3438" s="7" t="s">
        <v>18</v>
      </c>
      <c r="H3438" s="7" t="s">
        <v>18</v>
      </c>
      <c r="I3438" s="7" t="s">
        <v>309</v>
      </c>
      <c r="J3438" s="7" t="s">
        <v>18</v>
      </c>
      <c r="K3438" s="7" t="s">
        <v>2280</v>
      </c>
      <c r="L3438" s="13">
        <v>0.67708333333333337</v>
      </c>
      <c r="M3438" s="7" t="s">
        <v>448</v>
      </c>
      <c r="N3438" s="7" t="s">
        <v>2282</v>
      </c>
      <c r="O3438" s="7"/>
    </row>
    <row r="3439" spans="1:15">
      <c r="A3439" s="7" t="s">
        <v>15</v>
      </c>
      <c r="B3439" s="12" t="str">
        <f>"FES1162743804"</f>
        <v>FES1162743804</v>
      </c>
      <c r="C3439" s="7" t="s">
        <v>2280</v>
      </c>
      <c r="D3439" s="7">
        <v>1</v>
      </c>
      <c r="E3439" s="7" t="str">
        <f>"2170731597"</f>
        <v>2170731597</v>
      </c>
      <c r="F3439" s="7" t="s">
        <v>17</v>
      </c>
      <c r="G3439" s="7" t="s">
        <v>18</v>
      </c>
      <c r="H3439" s="7" t="s">
        <v>18</v>
      </c>
      <c r="I3439" s="7" t="s">
        <v>309</v>
      </c>
      <c r="J3439" s="7" t="s">
        <v>18</v>
      </c>
      <c r="K3439" s="7" t="s">
        <v>2280</v>
      </c>
      <c r="L3439" s="13">
        <v>0.67708333333333337</v>
      </c>
      <c r="M3439" s="7" t="s">
        <v>448</v>
      </c>
      <c r="N3439" s="7" t="s">
        <v>2282</v>
      </c>
      <c r="O3439" s="7"/>
    </row>
    <row r="3440" spans="1:15">
      <c r="A3440" s="7" t="s">
        <v>15</v>
      </c>
      <c r="B3440" s="12" t="str">
        <f>"FES1162743809"</f>
        <v>FES1162743809</v>
      </c>
      <c r="C3440" s="7" t="s">
        <v>2280</v>
      </c>
      <c r="D3440" s="7">
        <v>1</v>
      </c>
      <c r="E3440" s="7" t="str">
        <f>"2170735202"</f>
        <v>2170735202</v>
      </c>
      <c r="F3440" s="7" t="s">
        <v>17</v>
      </c>
      <c r="G3440" s="7" t="s">
        <v>18</v>
      </c>
      <c r="H3440" s="7" t="s">
        <v>18</v>
      </c>
      <c r="I3440" s="7" t="s">
        <v>309</v>
      </c>
      <c r="J3440" s="7" t="s">
        <v>18</v>
      </c>
      <c r="K3440" s="7" t="s">
        <v>2280</v>
      </c>
      <c r="L3440" s="13">
        <v>0.67708333333333337</v>
      </c>
      <c r="M3440" s="7" t="s">
        <v>448</v>
      </c>
      <c r="N3440" s="7" t="s">
        <v>2282</v>
      </c>
      <c r="O3440" s="7"/>
    </row>
    <row r="3441" spans="1:15">
      <c r="A3441" s="7" t="s">
        <v>15</v>
      </c>
      <c r="B3441" s="12" t="str">
        <f>"FES1162743803"</f>
        <v>FES1162743803</v>
      </c>
      <c r="C3441" s="7" t="s">
        <v>2280</v>
      </c>
      <c r="D3441" s="7">
        <v>1</v>
      </c>
      <c r="E3441" s="7" t="str">
        <f>"2170735196"</f>
        <v>2170735196</v>
      </c>
      <c r="F3441" s="7" t="s">
        <v>17</v>
      </c>
      <c r="G3441" s="7" t="s">
        <v>18</v>
      </c>
      <c r="H3441" s="7" t="s">
        <v>18</v>
      </c>
      <c r="I3441" s="7" t="s">
        <v>309</v>
      </c>
      <c r="J3441" s="7" t="s">
        <v>18</v>
      </c>
      <c r="K3441" s="7" t="s">
        <v>2280</v>
      </c>
      <c r="L3441" s="13">
        <v>0.67708333333333337</v>
      </c>
      <c r="M3441" s="7" t="s">
        <v>448</v>
      </c>
      <c r="N3441" s="7" t="s">
        <v>2282</v>
      </c>
      <c r="O3441" s="7"/>
    </row>
    <row r="3442" spans="1:15">
      <c r="A3442" s="3" t="s">
        <v>15</v>
      </c>
      <c r="B3442" s="2" t="str">
        <f>"FES1162743806"</f>
        <v>FES1162743806</v>
      </c>
      <c r="C3442" s="3" t="s">
        <v>2280</v>
      </c>
      <c r="D3442" s="3">
        <v>1</v>
      </c>
      <c r="E3442" s="3" t="str">
        <f>"2170735199"</f>
        <v>2170735199</v>
      </c>
      <c r="F3442" s="3" t="s">
        <v>17</v>
      </c>
      <c r="G3442" s="3" t="s">
        <v>18</v>
      </c>
      <c r="H3442" s="3" t="s">
        <v>19</v>
      </c>
      <c r="I3442" s="3" t="s">
        <v>277</v>
      </c>
      <c r="J3442" s="3" t="s">
        <v>20</v>
      </c>
      <c r="K3442" s="3" t="s">
        <v>2278</v>
      </c>
      <c r="L3442" s="4">
        <v>0.37361111111111112</v>
      </c>
      <c r="M3442" s="3" t="s">
        <v>448</v>
      </c>
      <c r="N3442" s="3" t="s">
        <v>2331</v>
      </c>
      <c r="O3442" s="3"/>
    </row>
    <row r="3443" spans="1:15">
      <c r="A3443" s="3" t="s">
        <v>15</v>
      </c>
      <c r="B3443" s="2" t="str">
        <f>"FES1162743798"</f>
        <v>FES1162743798</v>
      </c>
      <c r="C3443" s="3" t="s">
        <v>2280</v>
      </c>
      <c r="D3443" s="3">
        <v>1</v>
      </c>
      <c r="E3443" s="3" t="str">
        <f>"2170734987"</f>
        <v>2170734987</v>
      </c>
      <c r="F3443" s="3" t="s">
        <v>17</v>
      </c>
      <c r="G3443" s="3" t="s">
        <v>18</v>
      </c>
      <c r="H3443" s="3" t="s">
        <v>70</v>
      </c>
      <c r="I3443" s="3" t="s">
        <v>71</v>
      </c>
      <c r="J3443" s="3"/>
      <c r="K3443" s="3"/>
      <c r="L3443" s="3" t="s">
        <v>2293</v>
      </c>
      <c r="M3443" s="3" t="s">
        <v>448</v>
      </c>
      <c r="N3443" s="3" t="s">
        <v>2331</v>
      </c>
      <c r="O3443" s="3"/>
    </row>
    <row r="3444" spans="1:15">
      <c r="A3444" s="7" t="s">
        <v>15</v>
      </c>
      <c r="B3444" s="12" t="str">
        <f>"FES1162743805"</f>
        <v>FES1162743805</v>
      </c>
      <c r="C3444" s="7" t="s">
        <v>2280</v>
      </c>
      <c r="D3444" s="7">
        <v>1</v>
      </c>
      <c r="E3444" s="7" t="str">
        <f>"2170735198"</f>
        <v>2170735198</v>
      </c>
      <c r="F3444" s="7" t="s">
        <v>17</v>
      </c>
      <c r="G3444" s="7" t="s">
        <v>18</v>
      </c>
      <c r="H3444" s="7" t="s">
        <v>18</v>
      </c>
      <c r="I3444" s="7" t="s">
        <v>309</v>
      </c>
      <c r="J3444" s="7" t="s">
        <v>18</v>
      </c>
      <c r="K3444" s="7" t="s">
        <v>2280</v>
      </c>
      <c r="L3444" s="13">
        <v>0.67708333333333337</v>
      </c>
      <c r="M3444" s="7" t="s">
        <v>448</v>
      </c>
      <c r="N3444" s="7" t="s">
        <v>2282</v>
      </c>
      <c r="O3444" s="7"/>
    </row>
    <row r="3445" spans="1:15">
      <c r="A3445" s="7" t="s">
        <v>15</v>
      </c>
      <c r="B3445" s="12" t="str">
        <f>"FES1162743810"</f>
        <v>FES1162743810</v>
      </c>
      <c r="C3445" s="7" t="s">
        <v>2280</v>
      </c>
      <c r="D3445" s="7">
        <v>1</v>
      </c>
      <c r="E3445" s="7" t="str">
        <f>"2170733485"</f>
        <v>2170733485</v>
      </c>
      <c r="F3445" s="7" t="s">
        <v>17</v>
      </c>
      <c r="G3445" s="7" t="s">
        <v>18</v>
      </c>
      <c r="H3445" s="7" t="s">
        <v>18</v>
      </c>
      <c r="I3445" s="7" t="s">
        <v>171</v>
      </c>
      <c r="J3445" s="7" t="s">
        <v>18</v>
      </c>
      <c r="K3445" s="7" t="s">
        <v>2280</v>
      </c>
      <c r="L3445" s="13">
        <v>0.67708333333333337</v>
      </c>
      <c r="M3445" s="7" t="s">
        <v>448</v>
      </c>
      <c r="N3445" s="7" t="s">
        <v>2282</v>
      </c>
      <c r="O3445" s="7"/>
    </row>
    <row r="3446" spans="1:15">
      <c r="A3446" s="7" t="s">
        <v>15</v>
      </c>
      <c r="B3446" s="12" t="str">
        <f>"FES1162743799"</f>
        <v>FES1162743799</v>
      </c>
      <c r="C3446" s="7" t="s">
        <v>2280</v>
      </c>
      <c r="D3446" s="7">
        <v>1</v>
      </c>
      <c r="E3446" s="7" t="str">
        <f>"2170735192"</f>
        <v>2170735192</v>
      </c>
      <c r="F3446" s="7" t="s">
        <v>17</v>
      </c>
      <c r="G3446" s="7" t="s">
        <v>18</v>
      </c>
      <c r="H3446" s="7" t="s">
        <v>19</v>
      </c>
      <c r="I3446" s="7" t="s">
        <v>20</v>
      </c>
      <c r="J3446" s="7" t="s">
        <v>20</v>
      </c>
      <c r="K3446" s="7" t="s">
        <v>2278</v>
      </c>
      <c r="L3446" s="13">
        <v>0.37083333333333335</v>
      </c>
      <c r="M3446" s="7" t="s">
        <v>448</v>
      </c>
      <c r="N3446" s="7" t="s">
        <v>2282</v>
      </c>
      <c r="O3446" s="7"/>
    </row>
    <row r="3447" spans="1:15">
      <c r="A3447" s="7" t="s">
        <v>15</v>
      </c>
      <c r="B3447" s="12" t="str">
        <f>"FES1162743808"</f>
        <v>FES1162743808</v>
      </c>
      <c r="C3447" s="7" t="s">
        <v>2280</v>
      </c>
      <c r="D3447" s="7">
        <v>1</v>
      </c>
      <c r="E3447" s="7" t="str">
        <f>"2170735201"</f>
        <v>2170735201</v>
      </c>
      <c r="F3447" s="7" t="s">
        <v>17</v>
      </c>
      <c r="G3447" s="7" t="s">
        <v>18</v>
      </c>
      <c r="H3447" s="7" t="s">
        <v>19</v>
      </c>
      <c r="I3447" s="7" t="s">
        <v>20</v>
      </c>
      <c r="J3447" s="7" t="s">
        <v>20</v>
      </c>
      <c r="K3447" s="7" t="s">
        <v>2278</v>
      </c>
      <c r="L3447" s="13">
        <v>0.37361111111111112</v>
      </c>
      <c r="M3447" s="7" t="s">
        <v>448</v>
      </c>
      <c r="N3447" s="7" t="s">
        <v>2282</v>
      </c>
      <c r="O3447" s="7"/>
    </row>
    <row r="3448" spans="1:15">
      <c r="A3448" s="3" t="s">
        <v>15</v>
      </c>
      <c r="B3448" s="2" t="str">
        <f>"FES1162743814"</f>
        <v>FES1162743814</v>
      </c>
      <c r="C3448" s="3" t="s">
        <v>2280</v>
      </c>
      <c r="D3448" s="3">
        <v>1</v>
      </c>
      <c r="E3448" s="3" t="str">
        <f>"2170735203"</f>
        <v>2170735203</v>
      </c>
      <c r="F3448" s="3" t="s">
        <v>17</v>
      </c>
      <c r="G3448" s="3" t="s">
        <v>18</v>
      </c>
      <c r="H3448" s="3" t="s">
        <v>70</v>
      </c>
      <c r="I3448" s="3" t="s">
        <v>71</v>
      </c>
      <c r="J3448" s="3"/>
      <c r="K3448" s="3"/>
      <c r="L3448" s="3" t="s">
        <v>2293</v>
      </c>
      <c r="M3448" s="3" t="s">
        <v>448</v>
      </c>
      <c r="N3448" s="3" t="s">
        <v>2331</v>
      </c>
      <c r="O3448" s="3"/>
    </row>
    <row r="3449" spans="1:15">
      <c r="A3449" s="3" t="s">
        <v>15</v>
      </c>
      <c r="B3449" s="2" t="str">
        <f>"FES1162743811"</f>
        <v>FES1162743811</v>
      </c>
      <c r="C3449" s="3" t="s">
        <v>2280</v>
      </c>
      <c r="D3449" s="3">
        <v>1</v>
      </c>
      <c r="E3449" s="3" t="str">
        <f>"2170731599"</f>
        <v>2170731599</v>
      </c>
      <c r="F3449" s="3" t="s">
        <v>17</v>
      </c>
      <c r="G3449" s="3" t="s">
        <v>18</v>
      </c>
      <c r="H3449" s="3" t="s">
        <v>100</v>
      </c>
      <c r="I3449" s="3" t="s">
        <v>2314</v>
      </c>
      <c r="J3449" s="3" t="s">
        <v>101</v>
      </c>
      <c r="K3449" s="3" t="s">
        <v>2278</v>
      </c>
      <c r="L3449" s="4">
        <v>0.22222222222222221</v>
      </c>
      <c r="M3449" s="3" t="s">
        <v>2315</v>
      </c>
      <c r="N3449" s="3" t="s">
        <v>24</v>
      </c>
      <c r="O3449" s="3"/>
    </row>
    <row r="3450" spans="1:15">
      <c r="A3450" s="3" t="s">
        <v>15</v>
      </c>
      <c r="B3450" s="2" t="str">
        <f>"FES1162743860"</f>
        <v>FES1162743860</v>
      </c>
      <c r="C3450" s="3" t="s">
        <v>2278</v>
      </c>
      <c r="D3450" s="3">
        <v>1</v>
      </c>
      <c r="E3450" s="3" t="str">
        <f>"2170734978"</f>
        <v>2170734978</v>
      </c>
      <c r="F3450" s="3" t="s">
        <v>17</v>
      </c>
      <c r="G3450" s="3" t="s">
        <v>18</v>
      </c>
      <c r="H3450" s="3" t="s">
        <v>100</v>
      </c>
      <c r="I3450" s="3" t="s">
        <v>101</v>
      </c>
      <c r="J3450" s="3" t="s">
        <v>101</v>
      </c>
      <c r="K3450" s="3" t="s">
        <v>2353</v>
      </c>
      <c r="L3450" s="4">
        <v>0.19791666666666666</v>
      </c>
      <c r="M3450" s="3" t="s">
        <v>1999</v>
      </c>
      <c r="N3450" s="3" t="s">
        <v>24</v>
      </c>
      <c r="O3450" s="3"/>
    </row>
    <row r="3451" spans="1:15">
      <c r="A3451" s="7" t="s">
        <v>15</v>
      </c>
      <c r="B3451" s="12" t="str">
        <f>"FES1162743831"</f>
        <v>FES1162743831</v>
      </c>
      <c r="C3451" s="7" t="s">
        <v>2278</v>
      </c>
      <c r="D3451" s="7">
        <v>1</v>
      </c>
      <c r="E3451" s="7" t="str">
        <f>"2170735221"</f>
        <v>2170735221</v>
      </c>
      <c r="F3451" s="7" t="s">
        <v>17</v>
      </c>
      <c r="G3451" s="7" t="s">
        <v>18</v>
      </c>
      <c r="H3451" s="7" t="s">
        <v>46</v>
      </c>
      <c r="I3451" s="7" t="s">
        <v>47</v>
      </c>
      <c r="J3451" s="7" t="s">
        <v>47</v>
      </c>
      <c r="K3451" s="7" t="s">
        <v>2353</v>
      </c>
      <c r="L3451" s="13">
        <v>0.34583333333333338</v>
      </c>
      <c r="M3451" s="7" t="s">
        <v>448</v>
      </c>
      <c r="N3451" s="7" t="s">
        <v>2282</v>
      </c>
      <c r="O3451" s="7"/>
    </row>
    <row r="3452" spans="1:15">
      <c r="A3452" s="3" t="s">
        <v>15</v>
      </c>
      <c r="B3452" s="2" t="str">
        <f>"FES1162743859"</f>
        <v>FES1162743859</v>
      </c>
      <c r="C3452" s="3" t="s">
        <v>2278</v>
      </c>
      <c r="D3452" s="3">
        <v>1</v>
      </c>
      <c r="E3452" s="3" t="str">
        <f>"2170734975"</f>
        <v>2170734975</v>
      </c>
      <c r="F3452" s="3" t="s">
        <v>17</v>
      </c>
      <c r="G3452" s="3" t="s">
        <v>18</v>
      </c>
      <c r="H3452" s="3" t="s">
        <v>100</v>
      </c>
      <c r="I3452" s="3" t="s">
        <v>101</v>
      </c>
      <c r="J3452" s="3" t="s">
        <v>101</v>
      </c>
      <c r="K3452" s="3" t="s">
        <v>2353</v>
      </c>
      <c r="L3452" s="4">
        <v>1.3888888888888888E-2</v>
      </c>
      <c r="M3452" s="3" t="s">
        <v>1999</v>
      </c>
      <c r="N3452" s="3" t="s">
        <v>24</v>
      </c>
      <c r="O3452" s="3"/>
    </row>
    <row r="3453" spans="1:15">
      <c r="A3453" s="3" t="s">
        <v>15</v>
      </c>
      <c r="B3453" s="2" t="str">
        <f>"FES1162743862"</f>
        <v>FES1162743862</v>
      </c>
      <c r="C3453" s="3" t="s">
        <v>2278</v>
      </c>
      <c r="D3453" s="3">
        <v>1</v>
      </c>
      <c r="E3453" s="3" t="str">
        <f>"2170735019"</f>
        <v>2170735019</v>
      </c>
      <c r="F3453" s="3" t="s">
        <v>17</v>
      </c>
      <c r="G3453" s="3" t="s">
        <v>18</v>
      </c>
      <c r="H3453" s="3" t="s">
        <v>100</v>
      </c>
      <c r="I3453" s="3" t="s">
        <v>2314</v>
      </c>
      <c r="J3453" s="3" t="s">
        <v>101</v>
      </c>
      <c r="K3453" s="3" t="s">
        <v>2353</v>
      </c>
      <c r="L3453" s="4">
        <v>0.19722222222222222</v>
      </c>
      <c r="M3453" s="3" t="s">
        <v>2315</v>
      </c>
      <c r="N3453" s="3" t="s">
        <v>24</v>
      </c>
      <c r="O3453" s="3"/>
    </row>
    <row r="3454" spans="1:15">
      <c r="A3454" s="7" t="s">
        <v>15</v>
      </c>
      <c r="B3454" s="12" t="str">
        <f>"FES1162743823"</f>
        <v>FES1162743823</v>
      </c>
      <c r="C3454" s="7" t="s">
        <v>2278</v>
      </c>
      <c r="D3454" s="7">
        <v>1</v>
      </c>
      <c r="E3454" s="7" t="str">
        <f>"2170735211"</f>
        <v>2170735211</v>
      </c>
      <c r="F3454" s="7" t="s">
        <v>17</v>
      </c>
      <c r="G3454" s="7" t="s">
        <v>18</v>
      </c>
      <c r="H3454" s="7" t="s">
        <v>36</v>
      </c>
      <c r="I3454" s="7" t="s">
        <v>330</v>
      </c>
      <c r="J3454" s="7" t="s">
        <v>37</v>
      </c>
      <c r="K3454" s="7" t="s">
        <v>2353</v>
      </c>
      <c r="L3454" s="13">
        <v>0.4680555555555555</v>
      </c>
      <c r="M3454" s="7" t="s">
        <v>448</v>
      </c>
      <c r="N3454" s="7" t="s">
        <v>2282</v>
      </c>
      <c r="O3454" s="7"/>
    </row>
    <row r="3455" spans="1:15">
      <c r="A3455" s="3" t="s">
        <v>15</v>
      </c>
      <c r="B3455" s="2" t="str">
        <f>"FES1162743864"</f>
        <v>FES1162743864</v>
      </c>
      <c r="C3455" s="3" t="s">
        <v>2278</v>
      </c>
      <c r="D3455" s="3">
        <v>1</v>
      </c>
      <c r="E3455" s="3" t="str">
        <f>"2170735053"</f>
        <v>2170735053</v>
      </c>
      <c r="F3455" s="3" t="s">
        <v>17</v>
      </c>
      <c r="G3455" s="3" t="s">
        <v>18</v>
      </c>
      <c r="H3455" s="3" t="s">
        <v>36</v>
      </c>
      <c r="I3455" s="3" t="s">
        <v>37</v>
      </c>
      <c r="J3455" s="3" t="s">
        <v>37</v>
      </c>
      <c r="K3455" s="3" t="s">
        <v>2353</v>
      </c>
      <c r="L3455" s="4">
        <v>0.46875</v>
      </c>
      <c r="M3455" s="3" t="s">
        <v>2354</v>
      </c>
      <c r="N3455" s="3" t="s">
        <v>24</v>
      </c>
      <c r="O3455" s="3"/>
    </row>
    <row r="3456" spans="1:15">
      <c r="A3456" s="3" t="s">
        <v>15</v>
      </c>
      <c r="B3456" s="2" t="str">
        <f>"FES1162743845"</f>
        <v>FES1162743845</v>
      </c>
      <c r="C3456" s="3" t="s">
        <v>2278</v>
      </c>
      <c r="D3456" s="3">
        <v>1</v>
      </c>
      <c r="E3456" s="3" t="str">
        <f>"2170734355"</f>
        <v>2170734355</v>
      </c>
      <c r="F3456" s="3" t="s">
        <v>17</v>
      </c>
      <c r="G3456" s="3" t="s">
        <v>18</v>
      </c>
      <c r="H3456" s="3" t="s">
        <v>100</v>
      </c>
      <c r="I3456" s="3" t="s">
        <v>101</v>
      </c>
      <c r="J3456" s="3" t="s">
        <v>101</v>
      </c>
      <c r="K3456" s="3" t="s">
        <v>2353</v>
      </c>
      <c r="L3456" s="4">
        <v>1.4583333333333332E-2</v>
      </c>
      <c r="M3456" s="3" t="s">
        <v>1324</v>
      </c>
      <c r="N3456" s="3" t="s">
        <v>24</v>
      </c>
      <c r="O3456" s="3"/>
    </row>
    <row r="3457" spans="1:15">
      <c r="A3457" s="3" t="s">
        <v>15</v>
      </c>
      <c r="B3457" s="2" t="str">
        <f>"FES1162743853"</f>
        <v>FES1162743853</v>
      </c>
      <c r="C3457" s="3" t="s">
        <v>2278</v>
      </c>
      <c r="D3457" s="3">
        <v>1</v>
      </c>
      <c r="E3457" s="3" t="str">
        <f>"2170734890"</f>
        <v>2170734890</v>
      </c>
      <c r="F3457" s="3" t="s">
        <v>17</v>
      </c>
      <c r="G3457" s="3" t="s">
        <v>18</v>
      </c>
      <c r="H3457" s="3" t="s">
        <v>100</v>
      </c>
      <c r="I3457" s="3" t="s">
        <v>101</v>
      </c>
      <c r="J3457" s="3" t="s">
        <v>101</v>
      </c>
      <c r="K3457" s="3" t="s">
        <v>2353</v>
      </c>
      <c r="L3457" s="4">
        <v>1.4583333333333332E-2</v>
      </c>
      <c r="M3457" s="3" t="s">
        <v>1999</v>
      </c>
      <c r="N3457" s="3" t="s">
        <v>24</v>
      </c>
      <c r="O3457" s="3"/>
    </row>
    <row r="3458" spans="1:15">
      <c r="A3458" s="3" t="s">
        <v>15</v>
      </c>
      <c r="B3458" s="2" t="str">
        <f>"FES1162743851"</f>
        <v>FES1162743851</v>
      </c>
      <c r="C3458" s="3" t="s">
        <v>2278</v>
      </c>
      <c r="D3458" s="3">
        <v>1</v>
      </c>
      <c r="E3458" s="3" t="str">
        <f>"2170734851"</f>
        <v>2170734851</v>
      </c>
      <c r="F3458" s="3" t="s">
        <v>17</v>
      </c>
      <c r="G3458" s="3" t="s">
        <v>18</v>
      </c>
      <c r="H3458" s="3" t="s">
        <v>100</v>
      </c>
      <c r="I3458" s="3" t="s">
        <v>2314</v>
      </c>
      <c r="J3458" s="3" t="s">
        <v>101</v>
      </c>
      <c r="K3458" s="3" t="s">
        <v>2353</v>
      </c>
      <c r="L3458" s="4">
        <v>1.3888888888888888E-2</v>
      </c>
      <c r="M3458" s="3" t="s">
        <v>2315</v>
      </c>
      <c r="N3458" s="3" t="s">
        <v>24</v>
      </c>
      <c r="O3458" s="3"/>
    </row>
    <row r="3459" spans="1:15">
      <c r="A3459" s="7" t="s">
        <v>15</v>
      </c>
      <c r="B3459" s="12" t="str">
        <f>"FES1162743856"</f>
        <v>FES1162743856</v>
      </c>
      <c r="C3459" s="7" t="s">
        <v>2278</v>
      </c>
      <c r="D3459" s="7">
        <v>1</v>
      </c>
      <c r="E3459" s="7" t="str">
        <f>"2170734966"</f>
        <v>2170734966</v>
      </c>
      <c r="F3459" s="7" t="s">
        <v>17</v>
      </c>
      <c r="G3459" s="7" t="s">
        <v>18</v>
      </c>
      <c r="H3459" s="7" t="s">
        <v>36</v>
      </c>
      <c r="I3459" s="7" t="s">
        <v>37</v>
      </c>
      <c r="J3459" s="7"/>
      <c r="K3459" s="7"/>
      <c r="L3459" s="7" t="s">
        <v>2293</v>
      </c>
      <c r="M3459" s="7" t="s">
        <v>448</v>
      </c>
      <c r="N3459" s="7" t="s">
        <v>2282</v>
      </c>
      <c r="O3459" s="7"/>
    </row>
    <row r="3460" spans="1:15">
      <c r="A3460" s="7" t="s">
        <v>15</v>
      </c>
      <c r="B3460" s="12" t="str">
        <f>"FES1162743822"</f>
        <v>FES1162743822</v>
      </c>
      <c r="C3460" s="7" t="s">
        <v>2278</v>
      </c>
      <c r="D3460" s="7">
        <v>1</v>
      </c>
      <c r="E3460" s="7" t="str">
        <f>"2170735209"</f>
        <v>2170735209</v>
      </c>
      <c r="F3460" s="7" t="s">
        <v>17</v>
      </c>
      <c r="G3460" s="7" t="s">
        <v>948</v>
      </c>
      <c r="H3460" s="7" t="s">
        <v>1304</v>
      </c>
      <c r="I3460" s="7" t="s">
        <v>117</v>
      </c>
      <c r="J3460" s="7"/>
      <c r="K3460" s="7"/>
      <c r="L3460" s="7" t="s">
        <v>2293</v>
      </c>
      <c r="M3460" s="7" t="s">
        <v>448</v>
      </c>
      <c r="N3460" s="7" t="s">
        <v>2282</v>
      </c>
      <c r="O3460" s="7"/>
    </row>
    <row r="3461" spans="1:15">
      <c r="A3461" s="3" t="s">
        <v>15</v>
      </c>
      <c r="B3461" s="2" t="str">
        <f>"FES1162743832"</f>
        <v>FES1162743832</v>
      </c>
      <c r="C3461" s="3" t="s">
        <v>2278</v>
      </c>
      <c r="D3461" s="3">
        <v>1</v>
      </c>
      <c r="E3461" s="3" t="str">
        <f>"2170735222"</f>
        <v>2170735222</v>
      </c>
      <c r="F3461" s="3" t="s">
        <v>17</v>
      </c>
      <c r="G3461" s="3" t="s">
        <v>18</v>
      </c>
      <c r="H3461" s="3" t="s">
        <v>100</v>
      </c>
      <c r="I3461" s="3" t="s">
        <v>101</v>
      </c>
      <c r="J3461" s="3" t="s">
        <v>101</v>
      </c>
      <c r="K3461" s="3" t="s">
        <v>2353</v>
      </c>
      <c r="L3461" s="4">
        <v>0.19791666666666666</v>
      </c>
      <c r="M3461" s="3" t="s">
        <v>1999</v>
      </c>
      <c r="N3461" s="3" t="s">
        <v>24</v>
      </c>
      <c r="O3461" s="3"/>
    </row>
    <row r="3462" spans="1:15">
      <c r="A3462" s="7" t="s">
        <v>15</v>
      </c>
      <c r="B3462" s="12" t="str">
        <f>"FES1162743861"</f>
        <v>FES1162743861</v>
      </c>
      <c r="C3462" s="7" t="s">
        <v>2278</v>
      </c>
      <c r="D3462" s="7">
        <v>1</v>
      </c>
      <c r="E3462" s="7" t="str">
        <f>"2170735013"</f>
        <v>2170735013</v>
      </c>
      <c r="F3462" s="7" t="s">
        <v>17</v>
      </c>
      <c r="G3462" s="7" t="s">
        <v>18</v>
      </c>
      <c r="H3462" s="7" t="s">
        <v>70</v>
      </c>
      <c r="I3462" s="7" t="s">
        <v>71</v>
      </c>
      <c r="J3462" s="7"/>
      <c r="K3462" s="7"/>
      <c r="L3462" s="7" t="s">
        <v>2293</v>
      </c>
      <c r="M3462" s="7" t="s">
        <v>448</v>
      </c>
      <c r="N3462" s="7" t="s">
        <v>2282</v>
      </c>
      <c r="O3462" s="7"/>
    </row>
    <row r="3463" spans="1:15">
      <c r="A3463" s="7" t="s">
        <v>15</v>
      </c>
      <c r="B3463" s="12" t="str">
        <f>"FES1162743834"</f>
        <v>FES1162743834</v>
      </c>
      <c r="C3463" s="7" t="s">
        <v>2278</v>
      </c>
      <c r="D3463" s="7">
        <v>1</v>
      </c>
      <c r="E3463" s="7" t="str">
        <f>"2170733094"</f>
        <v>2170733094</v>
      </c>
      <c r="F3463" s="7" t="s">
        <v>17</v>
      </c>
      <c r="G3463" s="7" t="s">
        <v>18</v>
      </c>
      <c r="H3463" s="7" t="s">
        <v>70</v>
      </c>
      <c r="I3463" s="7" t="s">
        <v>71</v>
      </c>
      <c r="J3463" s="7"/>
      <c r="K3463" s="7"/>
      <c r="L3463" s="7" t="s">
        <v>2293</v>
      </c>
      <c r="M3463" s="7" t="s">
        <v>448</v>
      </c>
      <c r="N3463" s="7" t="s">
        <v>2282</v>
      </c>
      <c r="O3463" s="7"/>
    </row>
    <row r="3464" spans="1:15">
      <c r="A3464" s="7" t="s">
        <v>15</v>
      </c>
      <c r="B3464" s="12" t="str">
        <f>"FES1162743835"</f>
        <v>FES1162743835</v>
      </c>
      <c r="C3464" s="7" t="s">
        <v>2278</v>
      </c>
      <c r="D3464" s="7">
        <v>1</v>
      </c>
      <c r="E3464" s="7" t="str">
        <f>"2170733095"</f>
        <v>2170733095</v>
      </c>
      <c r="F3464" s="7" t="s">
        <v>17</v>
      </c>
      <c r="G3464" s="7" t="s">
        <v>18</v>
      </c>
      <c r="H3464" s="7" t="s">
        <v>70</v>
      </c>
      <c r="I3464" s="7" t="s">
        <v>71</v>
      </c>
      <c r="J3464" s="7"/>
      <c r="K3464" s="7"/>
      <c r="L3464" s="7" t="s">
        <v>2293</v>
      </c>
      <c r="M3464" s="7" t="s">
        <v>448</v>
      </c>
      <c r="N3464" s="7" t="s">
        <v>2282</v>
      </c>
      <c r="O3464" s="7"/>
    </row>
    <row r="3465" spans="1:15">
      <c r="A3465" s="3" t="s">
        <v>15</v>
      </c>
      <c r="B3465" s="2" t="str">
        <f>"FES1162743842"</f>
        <v>FES1162743842</v>
      </c>
      <c r="C3465" s="3" t="s">
        <v>2278</v>
      </c>
      <c r="D3465" s="3">
        <v>1</v>
      </c>
      <c r="E3465" s="3" t="str">
        <f>"2170733918"</f>
        <v>2170733918</v>
      </c>
      <c r="F3465" s="3" t="s">
        <v>17</v>
      </c>
      <c r="G3465" s="3" t="s">
        <v>18</v>
      </c>
      <c r="H3465" s="3" t="s">
        <v>66</v>
      </c>
      <c r="I3465" s="3" t="s">
        <v>67</v>
      </c>
      <c r="J3465" s="3" t="s">
        <v>67</v>
      </c>
      <c r="K3465" s="3" t="s">
        <v>2036</v>
      </c>
      <c r="L3465" s="4">
        <v>0.29444444444444445</v>
      </c>
      <c r="M3465" s="3" t="s">
        <v>1473</v>
      </c>
      <c r="N3465" s="3" t="s">
        <v>24</v>
      </c>
      <c r="O3465" s="3"/>
    </row>
    <row r="3466" spans="1:15">
      <c r="A3466" s="3" t="s">
        <v>15</v>
      </c>
      <c r="B3466" s="2" t="str">
        <f>"FES1162743868"</f>
        <v>FES1162743868</v>
      </c>
      <c r="C3466" s="3" t="s">
        <v>2278</v>
      </c>
      <c r="D3466" s="3">
        <v>1</v>
      </c>
      <c r="E3466" s="3" t="str">
        <f>"2170735121"</f>
        <v>2170735121</v>
      </c>
      <c r="F3466" s="3" t="s">
        <v>17</v>
      </c>
      <c r="G3466" s="3" t="s">
        <v>18</v>
      </c>
      <c r="H3466" s="3" t="s">
        <v>66</v>
      </c>
      <c r="I3466" s="3" t="s">
        <v>67</v>
      </c>
      <c r="J3466" s="3" t="s">
        <v>67</v>
      </c>
      <c r="K3466" s="3" t="s">
        <v>2036</v>
      </c>
      <c r="L3466" s="4">
        <v>0.29375000000000001</v>
      </c>
      <c r="M3466" s="3" t="s">
        <v>1118</v>
      </c>
      <c r="N3466" s="3" t="s">
        <v>24</v>
      </c>
      <c r="O3466" s="3"/>
    </row>
    <row r="3467" spans="1:15">
      <c r="A3467" s="7" t="s">
        <v>15</v>
      </c>
      <c r="B3467" s="12" t="str">
        <f>"FES1162743879"</f>
        <v>FES1162743879</v>
      </c>
      <c r="C3467" s="7" t="s">
        <v>2278</v>
      </c>
      <c r="D3467" s="7">
        <v>1</v>
      </c>
      <c r="E3467" s="7" t="str">
        <f>"2170735235"</f>
        <v>2170735235</v>
      </c>
      <c r="F3467" s="7" t="s">
        <v>17</v>
      </c>
      <c r="G3467" s="7" t="s">
        <v>18</v>
      </c>
      <c r="H3467" s="7" t="s">
        <v>66</v>
      </c>
      <c r="I3467" s="7" t="s">
        <v>67</v>
      </c>
      <c r="J3467" s="7" t="s">
        <v>67</v>
      </c>
      <c r="K3467" s="7" t="s">
        <v>2036</v>
      </c>
      <c r="L3467" s="13">
        <v>0.29375000000000001</v>
      </c>
      <c r="M3467" s="7" t="s">
        <v>448</v>
      </c>
      <c r="N3467" s="7" t="s">
        <v>2282</v>
      </c>
      <c r="O3467" s="7"/>
    </row>
    <row r="3468" spans="1:15">
      <c r="A3468" s="3" t="s">
        <v>15</v>
      </c>
      <c r="B3468" s="2" t="str">
        <f>"FES1162743830"</f>
        <v>FES1162743830</v>
      </c>
      <c r="C3468" s="3" t="s">
        <v>2278</v>
      </c>
      <c r="D3468" s="3">
        <v>1</v>
      </c>
      <c r="E3468" s="3" t="str">
        <f>"2170735220"</f>
        <v>2170735220</v>
      </c>
      <c r="F3468" s="3" t="s">
        <v>17</v>
      </c>
      <c r="G3468" s="3" t="s">
        <v>18</v>
      </c>
      <c r="H3468" s="3" t="s">
        <v>18</v>
      </c>
      <c r="I3468" s="3" t="s">
        <v>29</v>
      </c>
      <c r="J3468" s="3" t="s">
        <v>18</v>
      </c>
      <c r="K3468" s="3" t="s">
        <v>2278</v>
      </c>
      <c r="L3468" s="4">
        <v>0.64583333333333337</v>
      </c>
      <c r="M3468" s="3" t="s">
        <v>1287</v>
      </c>
      <c r="N3468" s="3" t="s">
        <v>24</v>
      </c>
      <c r="O3468" s="3"/>
    </row>
    <row r="3469" spans="1:15">
      <c r="A3469" s="3" t="s">
        <v>15</v>
      </c>
      <c r="B3469" s="2" t="str">
        <f>"FES1162743863"</f>
        <v>FES1162743863</v>
      </c>
      <c r="C3469" s="3" t="s">
        <v>2278</v>
      </c>
      <c r="D3469" s="3">
        <v>1</v>
      </c>
      <c r="E3469" s="3" t="str">
        <f>"2170735035"</f>
        <v>2170735035</v>
      </c>
      <c r="F3469" s="3" t="s">
        <v>17</v>
      </c>
      <c r="G3469" s="3" t="s">
        <v>18</v>
      </c>
      <c r="H3469" s="3" t="s">
        <v>18</v>
      </c>
      <c r="I3469" s="3" t="s">
        <v>171</v>
      </c>
      <c r="J3469" s="3" t="s">
        <v>18</v>
      </c>
      <c r="K3469" s="3" t="s">
        <v>2278</v>
      </c>
      <c r="L3469" s="4">
        <v>0.64583333333333337</v>
      </c>
      <c r="M3469" s="3" t="s">
        <v>683</v>
      </c>
      <c r="N3469" s="3" t="s">
        <v>24</v>
      </c>
      <c r="O3469" s="3"/>
    </row>
    <row r="3470" spans="1:15">
      <c r="A3470" s="7" t="s">
        <v>15</v>
      </c>
      <c r="B3470" s="12" t="str">
        <f>"FES1162743836"</f>
        <v>FES1162743836</v>
      </c>
      <c r="C3470" s="7" t="s">
        <v>2278</v>
      </c>
      <c r="D3470" s="7">
        <v>1</v>
      </c>
      <c r="E3470" s="7" t="str">
        <f>"2170733117"</f>
        <v>2170733117</v>
      </c>
      <c r="F3470" s="7" t="s">
        <v>17</v>
      </c>
      <c r="G3470" s="7" t="s">
        <v>18</v>
      </c>
      <c r="H3470" s="7" t="s">
        <v>18</v>
      </c>
      <c r="I3470" s="7" t="s">
        <v>171</v>
      </c>
      <c r="J3470" s="7" t="s">
        <v>18</v>
      </c>
      <c r="K3470" s="7" t="s">
        <v>2278</v>
      </c>
      <c r="L3470" s="13">
        <v>0.64583333333333337</v>
      </c>
      <c r="M3470" s="7" t="s">
        <v>448</v>
      </c>
      <c r="N3470" s="7" t="s">
        <v>2282</v>
      </c>
      <c r="O3470" s="7"/>
    </row>
    <row r="3471" spans="1:15">
      <c r="A3471" s="7" t="s">
        <v>15</v>
      </c>
      <c r="B3471" s="12" t="str">
        <f>"FES1162743849"</f>
        <v>FES1162743849</v>
      </c>
      <c r="C3471" s="7" t="s">
        <v>2278</v>
      </c>
      <c r="D3471" s="7">
        <v>1</v>
      </c>
      <c r="E3471" s="7" t="str">
        <f>"2170735740"</f>
        <v>2170735740</v>
      </c>
      <c r="F3471" s="7" t="s">
        <v>17</v>
      </c>
      <c r="G3471" s="7" t="s">
        <v>18</v>
      </c>
      <c r="H3471" s="7" t="s">
        <v>18</v>
      </c>
      <c r="I3471" s="7" t="s">
        <v>341</v>
      </c>
      <c r="J3471" s="7" t="s">
        <v>18</v>
      </c>
      <c r="K3471" s="7" t="s">
        <v>2278</v>
      </c>
      <c r="L3471" s="13">
        <v>0.64583333333333337</v>
      </c>
      <c r="M3471" s="7" t="s">
        <v>448</v>
      </c>
      <c r="N3471" s="7" t="s">
        <v>2282</v>
      </c>
      <c r="O3471" s="7"/>
    </row>
    <row r="3472" spans="1:15">
      <c r="A3472" s="3" t="s">
        <v>15</v>
      </c>
      <c r="B3472" s="2" t="str">
        <f>"FES1162743829"</f>
        <v>FES1162743829</v>
      </c>
      <c r="C3472" s="3" t="s">
        <v>2278</v>
      </c>
      <c r="D3472" s="3">
        <v>1</v>
      </c>
      <c r="E3472" s="3" t="str">
        <f>"21707035219"</f>
        <v>21707035219</v>
      </c>
      <c r="F3472" s="3" t="s">
        <v>17</v>
      </c>
      <c r="G3472" s="3" t="s">
        <v>18</v>
      </c>
      <c r="H3472" s="3" t="s">
        <v>18</v>
      </c>
      <c r="I3472" s="3" t="s">
        <v>171</v>
      </c>
      <c r="J3472" s="3" t="s">
        <v>18</v>
      </c>
      <c r="K3472" s="3" t="s">
        <v>2278</v>
      </c>
      <c r="L3472" s="4">
        <v>0.64583333333333337</v>
      </c>
      <c r="M3472" s="3" t="s">
        <v>2355</v>
      </c>
      <c r="N3472" s="3" t="s">
        <v>24</v>
      </c>
      <c r="O3472" s="3"/>
    </row>
    <row r="3473" spans="1:15">
      <c r="A3473" s="7" t="s">
        <v>15</v>
      </c>
      <c r="B3473" s="12" t="str">
        <f>"FES1162743858"</f>
        <v>FES1162743858</v>
      </c>
      <c r="C3473" s="7" t="s">
        <v>2278</v>
      </c>
      <c r="D3473" s="7">
        <v>1</v>
      </c>
      <c r="E3473" s="7" t="str">
        <f>"2170734974"</f>
        <v>2170734974</v>
      </c>
      <c r="F3473" s="7" t="s">
        <v>17</v>
      </c>
      <c r="G3473" s="7" t="s">
        <v>18</v>
      </c>
      <c r="H3473" s="7" t="s">
        <v>18</v>
      </c>
      <c r="I3473" s="7" t="s">
        <v>151</v>
      </c>
      <c r="J3473" s="7" t="s">
        <v>18</v>
      </c>
      <c r="K3473" s="7" t="s">
        <v>2278</v>
      </c>
      <c r="L3473" s="13">
        <v>0.64583333333333337</v>
      </c>
      <c r="M3473" s="7" t="s">
        <v>448</v>
      </c>
      <c r="N3473" s="7" t="s">
        <v>2282</v>
      </c>
      <c r="O3473" s="7"/>
    </row>
    <row r="3474" spans="1:15">
      <c r="A3474" s="3" t="s">
        <v>15</v>
      </c>
      <c r="B3474" s="2" t="str">
        <f>"FES1162743870"</f>
        <v>FES1162743870</v>
      </c>
      <c r="C3474" s="3" t="s">
        <v>2278</v>
      </c>
      <c r="D3474" s="3">
        <v>1</v>
      </c>
      <c r="E3474" s="3" t="str">
        <f>"2170735219"</f>
        <v>2170735219</v>
      </c>
      <c r="F3474" s="3" t="s">
        <v>17</v>
      </c>
      <c r="G3474" s="3" t="s">
        <v>18</v>
      </c>
      <c r="H3474" s="3" t="s">
        <v>18</v>
      </c>
      <c r="I3474" s="3" t="s">
        <v>171</v>
      </c>
      <c r="J3474" s="3" t="s">
        <v>18</v>
      </c>
      <c r="K3474" s="3" t="s">
        <v>2278</v>
      </c>
      <c r="L3474" s="4">
        <v>0.64583333333333337</v>
      </c>
      <c r="M3474" s="3" t="s">
        <v>2355</v>
      </c>
      <c r="N3474" s="3" t="s">
        <v>24</v>
      </c>
      <c r="O3474" s="3"/>
    </row>
    <row r="3475" spans="1:15">
      <c r="A3475" s="7" t="s">
        <v>15</v>
      </c>
      <c r="B3475" s="12" t="str">
        <f>"FES1162743826"</f>
        <v>FES1162743826</v>
      </c>
      <c r="C3475" s="7" t="s">
        <v>2278</v>
      </c>
      <c r="D3475" s="7">
        <v>1</v>
      </c>
      <c r="E3475" s="7" t="str">
        <f>"2170735213"</f>
        <v>2170735213</v>
      </c>
      <c r="F3475" s="7" t="s">
        <v>17</v>
      </c>
      <c r="G3475" s="7" t="s">
        <v>18</v>
      </c>
      <c r="H3475" s="7" t="s">
        <v>18</v>
      </c>
      <c r="I3475" s="7" t="s">
        <v>309</v>
      </c>
      <c r="J3475" s="7" t="s">
        <v>18</v>
      </c>
      <c r="K3475" s="7" t="s">
        <v>2278</v>
      </c>
      <c r="L3475" s="13">
        <v>0.64583333333333337</v>
      </c>
      <c r="M3475" s="7" t="s">
        <v>448</v>
      </c>
      <c r="N3475" s="7" t="s">
        <v>2282</v>
      </c>
      <c r="O3475" s="7"/>
    </row>
    <row r="3476" spans="1:15">
      <c r="A3476" s="3" t="s">
        <v>15</v>
      </c>
      <c r="B3476" s="2" t="str">
        <f>"FES1162743865"</f>
        <v>FES1162743865</v>
      </c>
      <c r="C3476" s="3" t="s">
        <v>2278</v>
      </c>
      <c r="D3476" s="3">
        <v>1</v>
      </c>
      <c r="E3476" s="3" t="str">
        <f>"2170735060"</f>
        <v>2170735060</v>
      </c>
      <c r="F3476" s="3" t="s">
        <v>17</v>
      </c>
      <c r="G3476" s="3" t="s">
        <v>18</v>
      </c>
      <c r="H3476" s="3" t="s">
        <v>18</v>
      </c>
      <c r="I3476" s="3" t="s">
        <v>222</v>
      </c>
      <c r="J3476" s="3" t="s">
        <v>18</v>
      </c>
      <c r="K3476" s="3" t="s">
        <v>2278</v>
      </c>
      <c r="L3476" s="4">
        <v>0.64583333333333337</v>
      </c>
      <c r="M3476" s="3" t="s">
        <v>2312</v>
      </c>
      <c r="N3476" s="3" t="s">
        <v>24</v>
      </c>
      <c r="O3476" s="3"/>
    </row>
    <row r="3477" spans="1:15">
      <c r="A3477" s="7" t="s">
        <v>15</v>
      </c>
      <c r="B3477" s="12" t="str">
        <f>"FES1162743833"</f>
        <v>FES1162743833</v>
      </c>
      <c r="C3477" s="7" t="s">
        <v>2278</v>
      </c>
      <c r="D3477" s="7">
        <v>1</v>
      </c>
      <c r="E3477" s="7" t="str">
        <f>"2170732931"</f>
        <v>2170732931</v>
      </c>
      <c r="F3477" s="7" t="s">
        <v>17</v>
      </c>
      <c r="G3477" s="7" t="s">
        <v>18</v>
      </c>
      <c r="H3477" s="7" t="s">
        <v>18</v>
      </c>
      <c r="I3477" s="7" t="s">
        <v>171</v>
      </c>
      <c r="J3477" s="7" t="s">
        <v>18</v>
      </c>
      <c r="K3477" s="7" t="s">
        <v>2278</v>
      </c>
      <c r="L3477" s="13">
        <v>0.64583333333333337</v>
      </c>
      <c r="M3477" s="7" t="s">
        <v>448</v>
      </c>
      <c r="N3477" s="7" t="s">
        <v>2282</v>
      </c>
      <c r="O3477" s="7"/>
    </row>
    <row r="3478" spans="1:15">
      <c r="A3478" s="3" t="s">
        <v>15</v>
      </c>
      <c r="B3478" s="2" t="str">
        <f>"FES1162743880"</f>
        <v>FES1162743880</v>
      </c>
      <c r="C3478" s="3" t="s">
        <v>2278</v>
      </c>
      <c r="D3478" s="3">
        <v>1</v>
      </c>
      <c r="E3478" s="3" t="str">
        <f>"2170735236"</f>
        <v>2170735236</v>
      </c>
      <c r="F3478" s="3" t="s">
        <v>17</v>
      </c>
      <c r="G3478" s="3" t="s">
        <v>18</v>
      </c>
      <c r="H3478" s="3" t="s">
        <v>18</v>
      </c>
      <c r="I3478" s="3" t="s">
        <v>29</v>
      </c>
      <c r="J3478" s="3" t="s">
        <v>18</v>
      </c>
      <c r="K3478" s="3" t="s">
        <v>2278</v>
      </c>
      <c r="L3478" s="4">
        <v>0.64583333333333337</v>
      </c>
      <c r="M3478" s="3" t="s">
        <v>2344</v>
      </c>
      <c r="N3478" s="3" t="s">
        <v>24</v>
      </c>
      <c r="O3478" s="3"/>
    </row>
    <row r="3479" spans="1:15">
      <c r="A3479" s="7" t="s">
        <v>15</v>
      </c>
      <c r="B3479" s="12" t="str">
        <f>"FES1162743875"</f>
        <v>FES1162743875</v>
      </c>
      <c r="C3479" s="7" t="s">
        <v>2278</v>
      </c>
      <c r="D3479" s="7">
        <v>1</v>
      </c>
      <c r="E3479" s="7" t="str">
        <f>"2170735233"</f>
        <v>2170735233</v>
      </c>
      <c r="F3479" s="7" t="s">
        <v>17</v>
      </c>
      <c r="G3479" s="7" t="s">
        <v>18</v>
      </c>
      <c r="H3479" s="7" t="s">
        <v>19</v>
      </c>
      <c r="I3479" s="7" t="s">
        <v>51</v>
      </c>
      <c r="J3479" s="7" t="s">
        <v>20</v>
      </c>
      <c r="K3479" s="7" t="s">
        <v>2036</v>
      </c>
      <c r="L3479" s="13">
        <v>0.3979166666666667</v>
      </c>
      <c r="M3479" s="7" t="s">
        <v>448</v>
      </c>
      <c r="N3479" s="7" t="s">
        <v>2282</v>
      </c>
      <c r="O3479" s="7"/>
    </row>
    <row r="3480" spans="1:15">
      <c r="A3480" s="3" t="s">
        <v>15</v>
      </c>
      <c r="B3480" s="2" t="str">
        <f>"FES1162743884"</f>
        <v>FES1162743884</v>
      </c>
      <c r="C3480" s="3" t="s">
        <v>2278</v>
      </c>
      <c r="D3480" s="3">
        <v>1</v>
      </c>
      <c r="E3480" s="3" t="str">
        <f>"2170732842"</f>
        <v>2170732842</v>
      </c>
      <c r="F3480" s="3" t="s">
        <v>17</v>
      </c>
      <c r="G3480" s="3" t="s">
        <v>18</v>
      </c>
      <c r="H3480" s="3" t="s">
        <v>46</v>
      </c>
      <c r="I3480" s="3" t="s">
        <v>47</v>
      </c>
      <c r="J3480" s="3" t="s">
        <v>47</v>
      </c>
      <c r="K3480" s="3" t="s">
        <v>2353</v>
      </c>
      <c r="L3480" s="4">
        <v>0.34027777777777773</v>
      </c>
      <c r="M3480" s="3" t="s">
        <v>211</v>
      </c>
      <c r="N3480" s="3" t="s">
        <v>24</v>
      </c>
      <c r="O3480" s="3"/>
    </row>
    <row r="3481" spans="1:15">
      <c r="A3481" s="3" t="s">
        <v>15</v>
      </c>
      <c r="B3481" s="2" t="str">
        <f>"FES1162743878"</f>
        <v>FES1162743878</v>
      </c>
      <c r="C3481" s="3" t="s">
        <v>2278</v>
      </c>
      <c r="D3481" s="3">
        <v>1</v>
      </c>
      <c r="E3481" s="3" t="str">
        <f>"2170734392"</f>
        <v>2170734392</v>
      </c>
      <c r="F3481" s="3" t="s">
        <v>17</v>
      </c>
      <c r="G3481" s="3" t="s">
        <v>18</v>
      </c>
      <c r="H3481" s="3" t="s">
        <v>46</v>
      </c>
      <c r="I3481" s="3" t="s">
        <v>47</v>
      </c>
      <c r="J3481" s="3" t="s">
        <v>47</v>
      </c>
      <c r="K3481" s="3" t="s">
        <v>2353</v>
      </c>
      <c r="L3481" s="4">
        <v>0.3430555555555555</v>
      </c>
      <c r="M3481" s="3" t="s">
        <v>179</v>
      </c>
      <c r="N3481" s="3" t="s">
        <v>24</v>
      </c>
      <c r="O3481" s="3"/>
    </row>
    <row r="3482" spans="1:15">
      <c r="A3482" s="3" t="s">
        <v>15</v>
      </c>
      <c r="B3482" s="2" t="str">
        <f>"FES1162743825"</f>
        <v>FES1162743825</v>
      </c>
      <c r="C3482" s="3" t="s">
        <v>2278</v>
      </c>
      <c r="D3482" s="3">
        <v>1</v>
      </c>
      <c r="E3482" s="3" t="str">
        <f>"2170734632"</f>
        <v>2170734632</v>
      </c>
      <c r="F3482" s="3" t="s">
        <v>17</v>
      </c>
      <c r="G3482" s="3" t="s">
        <v>18</v>
      </c>
      <c r="H3482" s="3" t="s">
        <v>1518</v>
      </c>
      <c r="I3482" s="3" t="s">
        <v>1519</v>
      </c>
      <c r="J3482" s="3" t="s">
        <v>2345</v>
      </c>
      <c r="K3482" s="3" t="s">
        <v>2036</v>
      </c>
      <c r="L3482" s="4">
        <v>0.3840277777777778</v>
      </c>
      <c r="M3482" s="3" t="s">
        <v>2346</v>
      </c>
      <c r="N3482" s="3" t="s">
        <v>24</v>
      </c>
      <c r="O3482" s="3"/>
    </row>
    <row r="3483" spans="1:15">
      <c r="A3483" s="7" t="s">
        <v>15</v>
      </c>
      <c r="B3483" s="12" t="str">
        <f>"FES1162743874"</f>
        <v>FES1162743874</v>
      </c>
      <c r="C3483" s="7" t="s">
        <v>2278</v>
      </c>
      <c r="D3483" s="7">
        <v>1</v>
      </c>
      <c r="E3483" s="7" t="str">
        <f>"2170735232"</f>
        <v>2170735232</v>
      </c>
      <c r="F3483" s="7" t="s">
        <v>17</v>
      </c>
      <c r="G3483" s="7" t="s">
        <v>18</v>
      </c>
      <c r="H3483" s="7" t="s">
        <v>100</v>
      </c>
      <c r="I3483" s="7" t="s">
        <v>101</v>
      </c>
      <c r="J3483" s="7" t="s">
        <v>101</v>
      </c>
      <c r="K3483" s="7" t="s">
        <v>2353</v>
      </c>
      <c r="L3483" s="13">
        <v>1.7361111111111112E-2</v>
      </c>
      <c r="M3483" s="7" t="s">
        <v>448</v>
      </c>
      <c r="N3483" s="7" t="s">
        <v>2282</v>
      </c>
      <c r="O3483" s="7"/>
    </row>
    <row r="3484" spans="1:15">
      <c r="A3484" s="3" t="s">
        <v>15</v>
      </c>
      <c r="B3484" s="2" t="str">
        <f>"FES1162743883"</f>
        <v>FES1162743883</v>
      </c>
      <c r="C3484" s="3" t="s">
        <v>2278</v>
      </c>
      <c r="D3484" s="3">
        <v>1</v>
      </c>
      <c r="E3484" s="3" t="str">
        <f>"2170732263"</f>
        <v>2170732263</v>
      </c>
      <c r="F3484" s="3" t="s">
        <v>17</v>
      </c>
      <c r="G3484" s="3" t="s">
        <v>18</v>
      </c>
      <c r="H3484" s="3" t="s">
        <v>46</v>
      </c>
      <c r="I3484" s="3" t="s">
        <v>47</v>
      </c>
      <c r="J3484" s="3" t="s">
        <v>47</v>
      </c>
      <c r="K3484" s="3" t="s">
        <v>2353</v>
      </c>
      <c r="L3484" s="4">
        <v>0.34583333333333338</v>
      </c>
      <c r="M3484" s="3" t="s">
        <v>211</v>
      </c>
      <c r="N3484" s="3" t="s">
        <v>24</v>
      </c>
      <c r="O3484" s="3"/>
    </row>
    <row r="3485" spans="1:15">
      <c r="A3485" s="7" t="s">
        <v>15</v>
      </c>
      <c r="B3485" s="12" t="str">
        <f>"FES1162743876"</f>
        <v>FES1162743876</v>
      </c>
      <c r="C3485" s="7" t="s">
        <v>2278</v>
      </c>
      <c r="D3485" s="7">
        <v>1</v>
      </c>
      <c r="E3485" s="7" t="str">
        <f>"2170735234"</f>
        <v>2170735234</v>
      </c>
      <c r="F3485" s="7" t="s">
        <v>17</v>
      </c>
      <c r="G3485" s="7" t="s">
        <v>18</v>
      </c>
      <c r="H3485" s="7" t="s">
        <v>100</v>
      </c>
      <c r="I3485" s="7" t="s">
        <v>101</v>
      </c>
      <c r="J3485" s="7" t="s">
        <v>101</v>
      </c>
      <c r="K3485" s="7" t="s">
        <v>2353</v>
      </c>
      <c r="L3485" s="13">
        <v>1.8055555555555557E-2</v>
      </c>
      <c r="M3485" s="7" t="s">
        <v>448</v>
      </c>
      <c r="N3485" s="7" t="s">
        <v>2282</v>
      </c>
      <c r="O3485" s="7"/>
    </row>
    <row r="3486" spans="1:15">
      <c r="A3486" s="7" t="s">
        <v>15</v>
      </c>
      <c r="B3486" s="12" t="str">
        <f>"FES1162743817"</f>
        <v>FES1162743817</v>
      </c>
      <c r="C3486" s="7" t="s">
        <v>2278</v>
      </c>
      <c r="D3486" s="7">
        <v>1</v>
      </c>
      <c r="E3486" s="7" t="str">
        <f>"2170733775"</f>
        <v>2170733775</v>
      </c>
      <c r="F3486" s="7" t="s">
        <v>17</v>
      </c>
      <c r="G3486" s="7" t="s">
        <v>18</v>
      </c>
      <c r="H3486" s="7" t="s">
        <v>36</v>
      </c>
      <c r="I3486" s="7" t="s">
        <v>330</v>
      </c>
      <c r="J3486" s="7" t="s">
        <v>37</v>
      </c>
      <c r="K3486" s="7" t="s">
        <v>2353</v>
      </c>
      <c r="L3486" s="13">
        <v>0.4694444444444445</v>
      </c>
      <c r="M3486" s="7" t="s">
        <v>448</v>
      </c>
      <c r="N3486" s="7" t="s">
        <v>2282</v>
      </c>
      <c r="O3486" s="7"/>
    </row>
    <row r="3487" spans="1:15">
      <c r="A3487" s="3" t="s">
        <v>15</v>
      </c>
      <c r="B3487" s="2" t="str">
        <f>"FES1162743885"</f>
        <v>FES1162743885</v>
      </c>
      <c r="C3487" s="3" t="s">
        <v>2278</v>
      </c>
      <c r="D3487" s="3">
        <v>1</v>
      </c>
      <c r="E3487" s="3" t="str">
        <f>"2170732970"</f>
        <v>2170732970</v>
      </c>
      <c r="F3487" s="3" t="s">
        <v>17</v>
      </c>
      <c r="G3487" s="3" t="s">
        <v>18</v>
      </c>
      <c r="H3487" s="3" t="s">
        <v>46</v>
      </c>
      <c r="I3487" s="3" t="s">
        <v>47</v>
      </c>
      <c r="J3487" s="3" t="s">
        <v>47</v>
      </c>
      <c r="K3487" s="3" t="s">
        <v>2353</v>
      </c>
      <c r="L3487" s="4">
        <v>0.34166666666666662</v>
      </c>
      <c r="M3487" s="3" t="s">
        <v>211</v>
      </c>
      <c r="N3487" s="3" t="s">
        <v>24</v>
      </c>
      <c r="O3487" s="3"/>
    </row>
    <row r="3488" spans="1:15">
      <c r="A3488" s="7" t="s">
        <v>15</v>
      </c>
      <c r="B3488" s="12" t="str">
        <f>"FES1162743890"</f>
        <v>FES1162743890</v>
      </c>
      <c r="C3488" s="7" t="s">
        <v>2278</v>
      </c>
      <c r="D3488" s="7">
        <v>1</v>
      </c>
      <c r="E3488" s="7" t="str">
        <f>"2170735246"</f>
        <v>2170735246</v>
      </c>
      <c r="F3488" s="7" t="s">
        <v>17</v>
      </c>
      <c r="G3488" s="7" t="s">
        <v>18</v>
      </c>
      <c r="H3488" s="7" t="s">
        <v>18</v>
      </c>
      <c r="I3488" s="7" t="s">
        <v>313</v>
      </c>
      <c r="J3488" s="7" t="s">
        <v>18</v>
      </c>
      <c r="K3488" s="7" t="s">
        <v>2278</v>
      </c>
      <c r="L3488" s="13">
        <v>0.64583333333333337</v>
      </c>
      <c r="M3488" s="7" t="s">
        <v>448</v>
      </c>
      <c r="N3488" s="7" t="s">
        <v>2282</v>
      </c>
      <c r="O3488" s="7"/>
    </row>
    <row r="3489" spans="1:15">
      <c r="A3489" s="3" t="s">
        <v>15</v>
      </c>
      <c r="B3489" s="2" t="str">
        <f>"FES1162743824"</f>
        <v>FES1162743824</v>
      </c>
      <c r="C3489" s="3" t="s">
        <v>2278</v>
      </c>
      <c r="D3489" s="3">
        <v>1</v>
      </c>
      <c r="E3489" s="3" t="str">
        <f>"2170734577"</f>
        <v>2170734577</v>
      </c>
      <c r="F3489" s="3" t="s">
        <v>17</v>
      </c>
      <c r="G3489" s="3" t="s">
        <v>18</v>
      </c>
      <c r="H3489" s="3" t="s">
        <v>70</v>
      </c>
      <c r="I3489" s="3" t="s">
        <v>71</v>
      </c>
      <c r="J3489" s="3"/>
      <c r="K3489" s="3"/>
      <c r="L3489" s="3" t="s">
        <v>2293</v>
      </c>
      <c r="M3489" s="3" t="s">
        <v>2356</v>
      </c>
      <c r="N3489" s="3" t="s">
        <v>24</v>
      </c>
      <c r="O3489" s="3"/>
    </row>
    <row r="3490" spans="1:15">
      <c r="A3490" s="3" t="s">
        <v>15</v>
      </c>
      <c r="B3490" s="2" t="str">
        <f>"FES1162743888"</f>
        <v>FES1162743888</v>
      </c>
      <c r="C3490" s="3" t="s">
        <v>2278</v>
      </c>
      <c r="D3490" s="3">
        <v>1</v>
      </c>
      <c r="E3490" s="3" t="str">
        <f>"2170735244"</f>
        <v>2170735244</v>
      </c>
      <c r="F3490" s="3" t="s">
        <v>17</v>
      </c>
      <c r="G3490" s="3" t="s">
        <v>18</v>
      </c>
      <c r="H3490" s="3" t="s">
        <v>18</v>
      </c>
      <c r="I3490" s="3" t="s">
        <v>163</v>
      </c>
      <c r="J3490" s="3" t="s">
        <v>18</v>
      </c>
      <c r="K3490" s="3" t="s">
        <v>2278</v>
      </c>
      <c r="L3490" s="4">
        <v>0.64583333333333337</v>
      </c>
      <c r="M3490" s="3" t="s">
        <v>2357</v>
      </c>
      <c r="N3490" s="3" t="s">
        <v>24</v>
      </c>
      <c r="O3490" s="3"/>
    </row>
    <row r="3491" spans="1:15">
      <c r="A3491" s="3" t="s">
        <v>15</v>
      </c>
      <c r="B3491" s="2" t="str">
        <f>"FES1162743889"</f>
        <v>FES1162743889</v>
      </c>
      <c r="C3491" s="3" t="s">
        <v>2278</v>
      </c>
      <c r="D3491" s="3">
        <v>1</v>
      </c>
      <c r="E3491" s="3" t="str">
        <f>"2170734130"</f>
        <v>2170734130</v>
      </c>
      <c r="F3491" s="3" t="s">
        <v>17</v>
      </c>
      <c r="G3491" s="3" t="s">
        <v>18</v>
      </c>
      <c r="H3491" s="3" t="s">
        <v>18</v>
      </c>
      <c r="I3491" s="3" t="s">
        <v>29</v>
      </c>
      <c r="J3491" s="3" t="s">
        <v>18</v>
      </c>
      <c r="K3491" s="3" t="s">
        <v>2278</v>
      </c>
      <c r="L3491" s="4">
        <v>0.64583333333333337</v>
      </c>
      <c r="M3491" s="3" t="s">
        <v>2344</v>
      </c>
      <c r="N3491" s="3" t="s">
        <v>24</v>
      </c>
      <c r="O3491" s="3"/>
    </row>
    <row r="3492" spans="1:15">
      <c r="A3492" s="7" t="s">
        <v>15</v>
      </c>
      <c r="B3492" s="12" t="str">
        <f>"FES1162743770"</f>
        <v>FES1162743770</v>
      </c>
      <c r="C3492" s="7" t="s">
        <v>2278</v>
      </c>
      <c r="D3492" s="7">
        <v>1</v>
      </c>
      <c r="E3492" s="7" t="str">
        <f>"2170735144"</f>
        <v>2170735144</v>
      </c>
      <c r="F3492" s="7" t="s">
        <v>17</v>
      </c>
      <c r="G3492" s="7" t="s">
        <v>18</v>
      </c>
      <c r="H3492" s="7" t="s">
        <v>18</v>
      </c>
      <c r="I3492" s="7" t="s">
        <v>309</v>
      </c>
      <c r="J3492" s="7" t="s">
        <v>18</v>
      </c>
      <c r="K3492" s="7" t="s">
        <v>2278</v>
      </c>
      <c r="L3492" s="13">
        <v>0.64583333333333337</v>
      </c>
      <c r="M3492" s="7" t="s">
        <v>448</v>
      </c>
      <c r="N3492" s="7" t="s">
        <v>2282</v>
      </c>
      <c r="O3492" s="7"/>
    </row>
    <row r="3493" spans="1:15">
      <c r="A3493" s="7" t="s">
        <v>15</v>
      </c>
      <c r="B3493" s="12" t="str">
        <f>"FES1162743820"</f>
        <v>FES1162743820</v>
      </c>
      <c r="C3493" s="7" t="s">
        <v>2278</v>
      </c>
      <c r="D3493" s="7">
        <v>1</v>
      </c>
      <c r="E3493" s="7" t="str">
        <f>"2170734561"</f>
        <v>2170734561</v>
      </c>
      <c r="F3493" s="7" t="s">
        <v>17</v>
      </c>
      <c r="G3493" s="7" t="s">
        <v>18</v>
      </c>
      <c r="H3493" s="7" t="s">
        <v>19</v>
      </c>
      <c r="I3493" s="7" t="s">
        <v>20</v>
      </c>
      <c r="J3493" s="7" t="s">
        <v>20</v>
      </c>
      <c r="K3493" s="7" t="s">
        <v>2036</v>
      </c>
      <c r="L3493" s="13">
        <v>0.37986111111111115</v>
      </c>
      <c r="M3493" s="7" t="s">
        <v>448</v>
      </c>
      <c r="N3493" s="7" t="s">
        <v>2282</v>
      </c>
      <c r="O3493" s="7"/>
    </row>
    <row r="3494" spans="1:15">
      <c r="A3494" s="7" t="s">
        <v>15</v>
      </c>
      <c r="B3494" s="12" t="str">
        <f>"FES1162743818"</f>
        <v>FES1162743818</v>
      </c>
      <c r="C3494" s="7" t="s">
        <v>2278</v>
      </c>
      <c r="D3494" s="7">
        <v>1</v>
      </c>
      <c r="E3494" s="7" t="str">
        <f>"2170733917"</f>
        <v>2170733917</v>
      </c>
      <c r="F3494" s="7" t="s">
        <v>17</v>
      </c>
      <c r="G3494" s="7" t="s">
        <v>18</v>
      </c>
      <c r="H3494" s="7" t="s">
        <v>19</v>
      </c>
      <c r="I3494" s="7" t="s">
        <v>20</v>
      </c>
      <c r="J3494" s="7" t="s">
        <v>20</v>
      </c>
      <c r="K3494" s="7" t="s">
        <v>2036</v>
      </c>
      <c r="L3494" s="13">
        <v>0.3833333333333333</v>
      </c>
      <c r="M3494" s="7" t="s">
        <v>448</v>
      </c>
      <c r="N3494" s="7" t="s">
        <v>2282</v>
      </c>
      <c r="O3494" s="7"/>
    </row>
    <row r="3495" spans="1:15">
      <c r="A3495" s="7" t="s">
        <v>15</v>
      </c>
      <c r="B3495" s="12" t="str">
        <f>"FES1162743848"</f>
        <v>FES1162743848</v>
      </c>
      <c r="C3495" s="7" t="s">
        <v>2278</v>
      </c>
      <c r="D3495" s="7">
        <v>1</v>
      </c>
      <c r="E3495" s="7" t="str">
        <f>"2170734598"</f>
        <v>2170734598</v>
      </c>
      <c r="F3495" s="7" t="s">
        <v>17</v>
      </c>
      <c r="G3495" s="7" t="s">
        <v>18</v>
      </c>
      <c r="H3495" s="7" t="s">
        <v>19</v>
      </c>
      <c r="I3495" s="7" t="s">
        <v>20</v>
      </c>
      <c r="J3495" s="7" t="s">
        <v>20</v>
      </c>
      <c r="K3495" s="7" t="s">
        <v>2036</v>
      </c>
      <c r="L3495" s="13">
        <v>0.3840277777777778</v>
      </c>
      <c r="M3495" s="7" t="s">
        <v>448</v>
      </c>
      <c r="N3495" s="7" t="s">
        <v>2282</v>
      </c>
      <c r="O3495" s="7"/>
    </row>
    <row r="3496" spans="1:15">
      <c r="A3496" s="7" t="s">
        <v>15</v>
      </c>
      <c r="B3496" s="12" t="str">
        <f>"FES1162743869"</f>
        <v>FES1162743869</v>
      </c>
      <c r="C3496" s="7" t="s">
        <v>2278</v>
      </c>
      <c r="D3496" s="7">
        <v>1</v>
      </c>
      <c r="E3496" s="7" t="str">
        <f>"2170735208"</f>
        <v>2170735208</v>
      </c>
      <c r="F3496" s="7" t="s">
        <v>17</v>
      </c>
      <c r="G3496" s="7" t="s">
        <v>18</v>
      </c>
      <c r="H3496" s="7" t="s">
        <v>19</v>
      </c>
      <c r="I3496" s="7" t="s">
        <v>51</v>
      </c>
      <c r="J3496" s="7" t="s">
        <v>20</v>
      </c>
      <c r="K3496" s="7" t="s">
        <v>2036</v>
      </c>
      <c r="L3496" s="13">
        <v>0.3840277777777778</v>
      </c>
      <c r="M3496" s="7" t="s">
        <v>448</v>
      </c>
      <c r="N3496" s="7" t="s">
        <v>2282</v>
      </c>
      <c r="O3496" s="7"/>
    </row>
    <row r="3497" spans="1:15">
      <c r="A3497" s="7" t="s">
        <v>15</v>
      </c>
      <c r="B3497" s="12" t="str">
        <f>"FES1162743852"</f>
        <v>FES1162743852</v>
      </c>
      <c r="C3497" s="7" t="s">
        <v>2278</v>
      </c>
      <c r="D3497" s="7">
        <v>1</v>
      </c>
      <c r="E3497" s="7" t="str">
        <f>"2170734863"</f>
        <v>2170734863</v>
      </c>
      <c r="F3497" s="7" t="s">
        <v>17</v>
      </c>
      <c r="G3497" s="7" t="s">
        <v>18</v>
      </c>
      <c r="H3497" s="7" t="s">
        <v>19</v>
      </c>
      <c r="I3497" s="7" t="s">
        <v>890</v>
      </c>
      <c r="J3497" s="7" t="s">
        <v>20</v>
      </c>
      <c r="K3497" s="7" t="s">
        <v>2036</v>
      </c>
      <c r="L3497" s="13">
        <v>0.39027777777777778</v>
      </c>
      <c r="M3497" s="7" t="s">
        <v>448</v>
      </c>
      <c r="N3497" s="7" t="s">
        <v>2282</v>
      </c>
      <c r="O3497" s="7"/>
    </row>
    <row r="3498" spans="1:15">
      <c r="A3498" s="7" t="s">
        <v>15</v>
      </c>
      <c r="B3498" s="12" t="str">
        <f>"FES1162743819"</f>
        <v>FES1162743819</v>
      </c>
      <c r="C3498" s="7" t="s">
        <v>2278</v>
      </c>
      <c r="D3498" s="7">
        <v>1</v>
      </c>
      <c r="E3498" s="7" t="str">
        <f>"2170734058"</f>
        <v>2170734058</v>
      </c>
      <c r="F3498" s="7" t="s">
        <v>17</v>
      </c>
      <c r="G3498" s="7" t="s">
        <v>18</v>
      </c>
      <c r="H3498" s="7" t="s">
        <v>19</v>
      </c>
      <c r="I3498" s="7" t="s">
        <v>86</v>
      </c>
      <c r="J3498" s="7" t="s">
        <v>20</v>
      </c>
      <c r="K3498" s="7" t="s">
        <v>2036</v>
      </c>
      <c r="L3498" s="13">
        <v>0.3972222222222222</v>
      </c>
      <c r="M3498" s="7" t="s">
        <v>448</v>
      </c>
      <c r="N3498" s="7" t="s">
        <v>2282</v>
      </c>
      <c r="O3498" s="7"/>
    </row>
    <row r="3499" spans="1:15">
      <c r="A3499" s="7" t="s">
        <v>15</v>
      </c>
      <c r="B3499" s="12" t="str">
        <f>"FES1162743843"</f>
        <v>FES1162743843</v>
      </c>
      <c r="C3499" s="7" t="s">
        <v>2278</v>
      </c>
      <c r="D3499" s="7">
        <v>1</v>
      </c>
      <c r="E3499" s="7" t="str">
        <f>"2170734158"</f>
        <v>2170734158</v>
      </c>
      <c r="F3499" s="7" t="s">
        <v>17</v>
      </c>
      <c r="G3499" s="7" t="s">
        <v>18</v>
      </c>
      <c r="H3499" s="7" t="s">
        <v>66</v>
      </c>
      <c r="I3499" s="7" t="s">
        <v>177</v>
      </c>
      <c r="J3499" s="7" t="s">
        <v>67</v>
      </c>
      <c r="K3499" s="7" t="s">
        <v>2036</v>
      </c>
      <c r="L3499" s="13">
        <v>0.30555555555555552</v>
      </c>
      <c r="M3499" s="7" t="s">
        <v>448</v>
      </c>
      <c r="N3499" s="7" t="s">
        <v>2282</v>
      </c>
      <c r="O3499" s="7"/>
    </row>
    <row r="3500" spans="1:15">
      <c r="A3500" s="7" t="s">
        <v>15</v>
      </c>
      <c r="B3500" s="12" t="str">
        <f>"FES1162743847"</f>
        <v>FES1162743847</v>
      </c>
      <c r="C3500" s="7" t="s">
        <v>2278</v>
      </c>
      <c r="D3500" s="7">
        <v>1</v>
      </c>
      <c r="E3500" s="7" t="str">
        <f>"2170734589"</f>
        <v>2170734589</v>
      </c>
      <c r="F3500" s="7" t="s">
        <v>17</v>
      </c>
      <c r="G3500" s="7" t="s">
        <v>18</v>
      </c>
      <c r="H3500" s="7" t="s">
        <v>66</v>
      </c>
      <c r="I3500" s="7" t="s">
        <v>67</v>
      </c>
      <c r="J3500" s="7" t="s">
        <v>67</v>
      </c>
      <c r="K3500" s="7" t="s">
        <v>2036</v>
      </c>
      <c r="L3500" s="13">
        <v>0.30486111111111108</v>
      </c>
      <c r="M3500" s="7" t="s">
        <v>448</v>
      </c>
      <c r="N3500" s="7" t="s">
        <v>2282</v>
      </c>
      <c r="O3500" s="7"/>
    </row>
    <row r="3501" spans="1:15">
      <c r="A3501" s="3" t="s">
        <v>15</v>
      </c>
      <c r="B3501" s="2" t="str">
        <f>"FES1162743837"</f>
        <v>FES1162743837</v>
      </c>
      <c r="C3501" s="3" t="s">
        <v>2278</v>
      </c>
      <c r="D3501" s="3">
        <v>1</v>
      </c>
      <c r="E3501" s="3" t="str">
        <f>"2170733174"</f>
        <v>2170733174</v>
      </c>
      <c r="F3501" s="3" t="s">
        <v>17</v>
      </c>
      <c r="G3501" s="3" t="s">
        <v>18</v>
      </c>
      <c r="H3501" s="3" t="s">
        <v>18</v>
      </c>
      <c r="I3501" s="3" t="s">
        <v>29</v>
      </c>
      <c r="J3501" s="3" t="s">
        <v>18</v>
      </c>
      <c r="K3501" s="3" t="s">
        <v>2278</v>
      </c>
      <c r="L3501" s="4">
        <v>0.64583333333333337</v>
      </c>
      <c r="M3501" s="3" t="s">
        <v>2220</v>
      </c>
      <c r="N3501" s="3" t="s">
        <v>24</v>
      </c>
      <c r="O3501" s="3"/>
    </row>
    <row r="3502" spans="1:15">
      <c r="A3502" s="7" t="s">
        <v>15</v>
      </c>
      <c r="B3502" s="12" t="str">
        <f>"FES1162743839"</f>
        <v>FES1162743839</v>
      </c>
      <c r="C3502" s="7" t="s">
        <v>2278</v>
      </c>
      <c r="D3502" s="7">
        <v>1</v>
      </c>
      <c r="E3502" s="7" t="str">
        <f>"2170733506"</f>
        <v>2170733506</v>
      </c>
      <c r="F3502" s="7" t="s">
        <v>17</v>
      </c>
      <c r="G3502" s="7" t="s">
        <v>18</v>
      </c>
      <c r="H3502" s="7" t="s">
        <v>18</v>
      </c>
      <c r="I3502" s="7" t="s">
        <v>171</v>
      </c>
      <c r="J3502" s="7" t="s">
        <v>18</v>
      </c>
      <c r="K3502" s="7" t="s">
        <v>2278</v>
      </c>
      <c r="L3502" s="13">
        <v>0.64583333333333337</v>
      </c>
      <c r="M3502" s="7" t="s">
        <v>448</v>
      </c>
      <c r="N3502" s="7" t="s">
        <v>2282</v>
      </c>
      <c r="O3502" s="7"/>
    </row>
    <row r="3503" spans="1:15">
      <c r="A3503" s="7" t="s">
        <v>15</v>
      </c>
      <c r="B3503" s="12" t="str">
        <f>"FES1162743873"</f>
        <v>FES1162743873</v>
      </c>
      <c r="C3503" s="7" t="s">
        <v>2278</v>
      </c>
      <c r="D3503" s="7">
        <v>1</v>
      </c>
      <c r="E3503" s="7" t="str">
        <f>"2170735230"</f>
        <v>2170735230</v>
      </c>
      <c r="F3503" s="7" t="s">
        <v>17</v>
      </c>
      <c r="G3503" s="7" t="s">
        <v>18</v>
      </c>
      <c r="H3503" s="7" t="s">
        <v>19</v>
      </c>
      <c r="I3503" s="7" t="s">
        <v>1241</v>
      </c>
      <c r="J3503" s="7" t="s">
        <v>20</v>
      </c>
      <c r="K3503" s="7" t="s">
        <v>2036</v>
      </c>
      <c r="L3503" s="13">
        <v>0.38055555555555554</v>
      </c>
      <c r="M3503" s="7" t="s">
        <v>448</v>
      </c>
      <c r="N3503" s="7" t="s">
        <v>2282</v>
      </c>
      <c r="O3503" s="7"/>
    </row>
    <row r="3504" spans="1:15">
      <c r="A3504" s="3" t="s">
        <v>15</v>
      </c>
      <c r="B3504" s="2" t="str">
        <f>"FES1162743871"</f>
        <v>FES1162743871</v>
      </c>
      <c r="C3504" s="3" t="s">
        <v>2278</v>
      </c>
      <c r="D3504" s="3">
        <v>1</v>
      </c>
      <c r="E3504" s="3" t="str">
        <f>"2170735226"</f>
        <v>2170735226</v>
      </c>
      <c r="F3504" s="3" t="s">
        <v>17</v>
      </c>
      <c r="G3504" s="3" t="s">
        <v>18</v>
      </c>
      <c r="H3504" s="3" t="s">
        <v>36</v>
      </c>
      <c r="I3504" s="3" t="s">
        <v>330</v>
      </c>
      <c r="J3504" s="3" t="s">
        <v>37</v>
      </c>
      <c r="K3504" s="3" t="s">
        <v>2353</v>
      </c>
      <c r="L3504" s="4">
        <v>0.4694444444444445</v>
      </c>
      <c r="M3504" s="3" t="s">
        <v>2358</v>
      </c>
      <c r="N3504" s="3" t="s">
        <v>24</v>
      </c>
      <c r="O3504" s="3"/>
    </row>
    <row r="3505" spans="1:15">
      <c r="A3505" s="7" t="s">
        <v>15</v>
      </c>
      <c r="B3505" s="12" t="str">
        <f>"FES1162743838"</f>
        <v>FES1162743838</v>
      </c>
      <c r="C3505" s="7" t="s">
        <v>2278</v>
      </c>
      <c r="D3505" s="7">
        <v>1</v>
      </c>
      <c r="E3505" s="7" t="str">
        <f>"2170733488"</f>
        <v>2170733488</v>
      </c>
      <c r="F3505" s="7" t="s">
        <v>17</v>
      </c>
      <c r="G3505" s="7" t="s">
        <v>18</v>
      </c>
      <c r="H3505" s="7" t="s">
        <v>19</v>
      </c>
      <c r="I3505" s="7" t="s">
        <v>51</v>
      </c>
      <c r="J3505" s="7" t="s">
        <v>20</v>
      </c>
      <c r="K3505" s="7" t="s">
        <v>2036</v>
      </c>
      <c r="L3505" s="13">
        <v>0.37916666666666665</v>
      </c>
      <c r="M3505" s="7" t="s">
        <v>448</v>
      </c>
      <c r="N3505" s="7" t="s">
        <v>2282</v>
      </c>
      <c r="O3505" s="7"/>
    </row>
    <row r="3506" spans="1:15">
      <c r="A3506" s="7" t="s">
        <v>15</v>
      </c>
      <c r="B3506" s="12" t="str">
        <f>"FES1162743882"</f>
        <v>FES1162743882</v>
      </c>
      <c r="C3506" s="7" t="s">
        <v>2278</v>
      </c>
      <c r="D3506" s="7">
        <v>2</v>
      </c>
      <c r="E3506" s="7" t="str">
        <f>"2170735239"</f>
        <v>2170735239</v>
      </c>
      <c r="F3506" s="7" t="s">
        <v>17</v>
      </c>
      <c r="G3506" s="7" t="s">
        <v>18</v>
      </c>
      <c r="H3506" s="7" t="s">
        <v>66</v>
      </c>
      <c r="I3506" s="7" t="s">
        <v>67</v>
      </c>
      <c r="J3506" s="7" t="s">
        <v>67</v>
      </c>
      <c r="K3506" s="7" t="s">
        <v>2036</v>
      </c>
      <c r="L3506" s="13">
        <v>0.31736111111111115</v>
      </c>
      <c r="M3506" s="7" t="s">
        <v>448</v>
      </c>
      <c r="N3506" s="7" t="s">
        <v>2282</v>
      </c>
      <c r="O3506" s="7"/>
    </row>
    <row r="3507" spans="1:15">
      <c r="A3507" s="7" t="s">
        <v>15</v>
      </c>
      <c r="B3507" s="12" t="str">
        <f>"FES1162743841"</f>
        <v>FES1162743841</v>
      </c>
      <c r="C3507" s="7" t="s">
        <v>2278</v>
      </c>
      <c r="D3507" s="7">
        <v>1</v>
      </c>
      <c r="E3507" s="7" t="str">
        <f>"2170733705"</f>
        <v>2170733705</v>
      </c>
      <c r="F3507" s="7" t="s">
        <v>17</v>
      </c>
      <c r="G3507" s="7" t="s">
        <v>18</v>
      </c>
      <c r="H3507" s="7" t="s">
        <v>70</v>
      </c>
      <c r="I3507" s="7" t="s">
        <v>71</v>
      </c>
      <c r="J3507" s="7"/>
      <c r="K3507" s="7"/>
      <c r="L3507" s="7" t="s">
        <v>2293</v>
      </c>
      <c r="M3507" s="7" t="s">
        <v>448</v>
      </c>
      <c r="N3507" s="7" t="s">
        <v>2282</v>
      </c>
      <c r="O3507" s="7"/>
    </row>
    <row r="3508" spans="1:15">
      <c r="A3508" s="3" t="s">
        <v>15</v>
      </c>
      <c r="B3508" s="2" t="str">
        <f>"FES1162743872"</f>
        <v>FES1162743872</v>
      </c>
      <c r="C3508" s="3" t="s">
        <v>2278</v>
      </c>
      <c r="D3508" s="3">
        <v>1</v>
      </c>
      <c r="E3508" s="3" t="str">
        <f>"2170735227"</f>
        <v>2170735227</v>
      </c>
      <c r="F3508" s="3" t="s">
        <v>17</v>
      </c>
      <c r="G3508" s="3" t="s">
        <v>18</v>
      </c>
      <c r="H3508" s="3" t="s">
        <v>36</v>
      </c>
      <c r="I3508" s="3" t="s">
        <v>330</v>
      </c>
      <c r="J3508" s="3" t="s">
        <v>37</v>
      </c>
      <c r="K3508" s="3" t="s">
        <v>2353</v>
      </c>
      <c r="L3508" s="4">
        <v>0.46875</v>
      </c>
      <c r="M3508" s="3" t="s">
        <v>2358</v>
      </c>
      <c r="N3508" s="3" t="s">
        <v>24</v>
      </c>
      <c r="O3508" s="3"/>
    </row>
    <row r="3509" spans="1:15">
      <c r="A3509" s="3" t="s">
        <v>15</v>
      </c>
      <c r="B3509" s="2" t="str">
        <f>"FES1162743827"</f>
        <v>FES1162743827</v>
      </c>
      <c r="C3509" s="3" t="s">
        <v>2278</v>
      </c>
      <c r="D3509" s="3">
        <v>1</v>
      </c>
      <c r="E3509" s="3" t="str">
        <f>"2170735214"</f>
        <v>2170735214</v>
      </c>
      <c r="F3509" s="3" t="s">
        <v>17</v>
      </c>
      <c r="G3509" s="3" t="s">
        <v>18</v>
      </c>
      <c r="H3509" s="3" t="s">
        <v>36</v>
      </c>
      <c r="I3509" s="3" t="s">
        <v>37</v>
      </c>
      <c r="J3509" s="3" t="s">
        <v>37</v>
      </c>
      <c r="K3509" s="3" t="s">
        <v>2353</v>
      </c>
      <c r="L3509" s="4">
        <v>0.47083333333333338</v>
      </c>
      <c r="M3509" s="3" t="s">
        <v>2343</v>
      </c>
      <c r="N3509" s="3" t="s">
        <v>24</v>
      </c>
      <c r="O3509" s="3"/>
    </row>
    <row r="3510" spans="1:15">
      <c r="A3510" s="7" t="s">
        <v>15</v>
      </c>
      <c r="B3510" s="12" t="str">
        <f>"FES1162743816"</f>
        <v>FES1162743816</v>
      </c>
      <c r="C3510" s="7" t="s">
        <v>2278</v>
      </c>
      <c r="D3510" s="7">
        <v>1</v>
      </c>
      <c r="E3510" s="7" t="str">
        <f>"217073165"</f>
        <v>217073165</v>
      </c>
      <c r="F3510" s="7" t="s">
        <v>17</v>
      </c>
      <c r="G3510" s="7" t="s">
        <v>18</v>
      </c>
      <c r="H3510" s="7" t="s">
        <v>100</v>
      </c>
      <c r="I3510" s="7" t="s">
        <v>101</v>
      </c>
      <c r="J3510" s="7" t="s">
        <v>101</v>
      </c>
      <c r="K3510" s="7" t="s">
        <v>2353</v>
      </c>
      <c r="L3510" s="13">
        <v>2.013888888888889E-2</v>
      </c>
      <c r="M3510" s="7" t="s">
        <v>448</v>
      </c>
      <c r="N3510" s="7" t="s">
        <v>2282</v>
      </c>
      <c r="O3510" s="7"/>
    </row>
    <row r="3511" spans="1:15">
      <c r="A3511" s="7" t="s">
        <v>15</v>
      </c>
      <c r="B3511" s="12" t="str">
        <f>"FES1162743952"</f>
        <v>FES1162743952</v>
      </c>
      <c r="C3511" s="7" t="s">
        <v>2353</v>
      </c>
      <c r="D3511" s="7">
        <v>1</v>
      </c>
      <c r="E3511" s="7" t="str">
        <f>"2170734728"</f>
        <v>2170734728</v>
      </c>
      <c r="F3511" s="7" t="s">
        <v>17</v>
      </c>
      <c r="G3511" s="7" t="s">
        <v>18</v>
      </c>
      <c r="H3511" s="7" t="s">
        <v>36</v>
      </c>
      <c r="I3511" s="7" t="s">
        <v>330</v>
      </c>
      <c r="J3511" s="7" t="s">
        <v>37</v>
      </c>
      <c r="K3511" s="7" t="s">
        <v>2359</v>
      </c>
      <c r="L3511" s="13">
        <v>0.2951388888888889</v>
      </c>
      <c r="M3511" s="7" t="s">
        <v>448</v>
      </c>
      <c r="N3511" s="7" t="s">
        <v>2282</v>
      </c>
      <c r="O3511" s="7"/>
    </row>
    <row r="3512" spans="1:15">
      <c r="A3512" s="3" t="s">
        <v>15</v>
      </c>
      <c r="B3512" s="2" t="str">
        <f>"FES1162743921"</f>
        <v>FES1162743921</v>
      </c>
      <c r="C3512" s="3" t="s">
        <v>2353</v>
      </c>
      <c r="D3512" s="3">
        <v>1</v>
      </c>
      <c r="E3512" s="3" t="str">
        <f>"2170735254"</f>
        <v>2170735254</v>
      </c>
      <c r="F3512" s="3" t="s">
        <v>17</v>
      </c>
      <c r="G3512" s="3" t="s">
        <v>18</v>
      </c>
      <c r="H3512" s="3" t="s">
        <v>100</v>
      </c>
      <c r="I3512" s="3" t="s">
        <v>101</v>
      </c>
      <c r="J3512" s="3" t="s">
        <v>101</v>
      </c>
      <c r="K3512" s="3" t="s">
        <v>2359</v>
      </c>
      <c r="L3512" s="4">
        <v>0.23611111111111113</v>
      </c>
      <c r="M3512" s="3" t="s">
        <v>2360</v>
      </c>
      <c r="N3512" s="3" t="s">
        <v>24</v>
      </c>
      <c r="O3512" s="3"/>
    </row>
    <row r="3513" spans="1:15">
      <c r="A3513" s="7" t="s">
        <v>15</v>
      </c>
      <c r="B3513" s="12" t="str">
        <f>"FES1162743950"</f>
        <v>FES1162743950</v>
      </c>
      <c r="C3513" s="7" t="s">
        <v>2353</v>
      </c>
      <c r="D3513" s="7">
        <v>1</v>
      </c>
      <c r="E3513" s="7" t="str">
        <f>"2170734420"</f>
        <v>2170734420</v>
      </c>
      <c r="F3513" s="7" t="s">
        <v>17</v>
      </c>
      <c r="G3513" s="7" t="s">
        <v>18</v>
      </c>
      <c r="H3513" s="7" t="s">
        <v>36</v>
      </c>
      <c r="I3513" s="7" t="s">
        <v>330</v>
      </c>
      <c r="J3513" s="7" t="s">
        <v>37</v>
      </c>
      <c r="K3513" s="7" t="s">
        <v>2359</v>
      </c>
      <c r="L3513" s="13">
        <v>0.2986111111111111</v>
      </c>
      <c r="M3513" s="7" t="s">
        <v>448</v>
      </c>
      <c r="N3513" s="7" t="s">
        <v>2282</v>
      </c>
      <c r="O3513" s="7"/>
    </row>
    <row r="3514" spans="1:15">
      <c r="A3514" s="7" t="s">
        <v>15</v>
      </c>
      <c r="B3514" s="12" t="str">
        <f>"FES1162743933"</f>
        <v>FES1162743933</v>
      </c>
      <c r="C3514" s="7" t="s">
        <v>2353</v>
      </c>
      <c r="D3514" s="7">
        <v>1</v>
      </c>
      <c r="E3514" s="7" t="str">
        <f>"2170735285"</f>
        <v>2170735285</v>
      </c>
      <c r="F3514" s="7" t="s">
        <v>17</v>
      </c>
      <c r="G3514" s="7" t="s">
        <v>18</v>
      </c>
      <c r="H3514" s="7" t="s">
        <v>19</v>
      </c>
      <c r="I3514" s="7" t="s">
        <v>86</v>
      </c>
      <c r="J3514" s="7" t="s">
        <v>20</v>
      </c>
      <c r="K3514" s="7" t="s">
        <v>2359</v>
      </c>
      <c r="L3514" s="13">
        <v>0.33958333333333335</v>
      </c>
      <c r="M3514" s="7" t="s">
        <v>448</v>
      </c>
      <c r="N3514" s="7" t="s">
        <v>2282</v>
      </c>
      <c r="O3514" s="7"/>
    </row>
    <row r="3515" spans="1:15">
      <c r="A3515" s="7" t="s">
        <v>15</v>
      </c>
      <c r="B3515" s="12" t="str">
        <f>"FES1162743898"</f>
        <v>FES1162743898</v>
      </c>
      <c r="C3515" s="7" t="s">
        <v>2353</v>
      </c>
      <c r="D3515" s="7">
        <v>1</v>
      </c>
      <c r="E3515" s="7" t="str">
        <f>"2170733799"</f>
        <v>2170733799</v>
      </c>
      <c r="F3515" s="7" t="s">
        <v>17</v>
      </c>
      <c r="G3515" s="7" t="s">
        <v>18</v>
      </c>
      <c r="H3515" s="7" t="s">
        <v>18</v>
      </c>
      <c r="I3515" s="7" t="s">
        <v>33</v>
      </c>
      <c r="J3515" s="7" t="s">
        <v>18</v>
      </c>
      <c r="K3515" s="7" t="s">
        <v>2353</v>
      </c>
      <c r="L3515" s="13">
        <v>0.68472222222222223</v>
      </c>
      <c r="M3515" s="7" t="s">
        <v>448</v>
      </c>
      <c r="N3515" s="7" t="s">
        <v>2282</v>
      </c>
      <c r="O3515" s="7"/>
    </row>
    <row r="3516" spans="1:15">
      <c r="A3516" s="7" t="s">
        <v>15</v>
      </c>
      <c r="B3516" s="12" t="str">
        <f>"FES1162743899"</f>
        <v>FES1162743899</v>
      </c>
      <c r="C3516" s="7" t="s">
        <v>2353</v>
      </c>
      <c r="D3516" s="7">
        <v>1</v>
      </c>
      <c r="E3516" s="7" t="str">
        <f>"2170733870"</f>
        <v>2170733870</v>
      </c>
      <c r="F3516" s="7" t="s">
        <v>17</v>
      </c>
      <c r="G3516" s="7" t="s">
        <v>18</v>
      </c>
      <c r="H3516" s="7" t="s">
        <v>18</v>
      </c>
      <c r="I3516" s="7" t="s">
        <v>33</v>
      </c>
      <c r="J3516" s="7" t="s">
        <v>18</v>
      </c>
      <c r="K3516" s="7" t="s">
        <v>2353</v>
      </c>
      <c r="L3516" s="13">
        <v>0.68472222222222223</v>
      </c>
      <c r="M3516" s="7" t="s">
        <v>448</v>
      </c>
      <c r="N3516" s="7" t="s">
        <v>2282</v>
      </c>
      <c r="O3516" s="7"/>
    </row>
    <row r="3517" spans="1:15">
      <c r="A3517" s="7" t="s">
        <v>15</v>
      </c>
      <c r="B3517" s="12" t="str">
        <f>"FES1162743901"</f>
        <v>FES1162743901</v>
      </c>
      <c r="C3517" s="7" t="s">
        <v>2353</v>
      </c>
      <c r="D3517" s="7">
        <v>1</v>
      </c>
      <c r="E3517" s="7" t="str">
        <f>"2170733900"</f>
        <v>2170733900</v>
      </c>
      <c r="F3517" s="7" t="s">
        <v>17</v>
      </c>
      <c r="G3517" s="7" t="s">
        <v>18</v>
      </c>
      <c r="H3517" s="7" t="s">
        <v>18</v>
      </c>
      <c r="I3517" s="7" t="s">
        <v>29</v>
      </c>
      <c r="J3517" s="7" t="s">
        <v>18</v>
      </c>
      <c r="K3517" s="7" t="s">
        <v>2353</v>
      </c>
      <c r="L3517" s="13">
        <v>0.68472222222222223</v>
      </c>
      <c r="M3517" s="7" t="s">
        <v>448</v>
      </c>
      <c r="N3517" s="7" t="s">
        <v>2282</v>
      </c>
      <c r="O3517" s="7"/>
    </row>
    <row r="3518" spans="1:15">
      <c r="A3518" s="7" t="s">
        <v>15</v>
      </c>
      <c r="B3518" s="12" t="str">
        <f>"FES1162743905"</f>
        <v>FES1162743905</v>
      </c>
      <c r="C3518" s="7" t="s">
        <v>2353</v>
      </c>
      <c r="D3518" s="7">
        <v>1</v>
      </c>
      <c r="E3518" s="7" t="str">
        <f>"2170734394"</f>
        <v>2170734394</v>
      </c>
      <c r="F3518" s="7" t="s">
        <v>17</v>
      </c>
      <c r="G3518" s="7" t="s">
        <v>18</v>
      </c>
      <c r="H3518" s="7" t="s">
        <v>18</v>
      </c>
      <c r="I3518" s="7" t="s">
        <v>453</v>
      </c>
      <c r="J3518" s="7" t="s">
        <v>18</v>
      </c>
      <c r="K3518" s="7" t="s">
        <v>2353</v>
      </c>
      <c r="L3518" s="13">
        <v>0.68472222222222223</v>
      </c>
      <c r="M3518" s="7" t="s">
        <v>448</v>
      </c>
      <c r="N3518" s="7" t="s">
        <v>2282</v>
      </c>
      <c r="O3518" s="7"/>
    </row>
    <row r="3519" spans="1:15">
      <c r="A3519" s="7" t="s">
        <v>15</v>
      </c>
      <c r="B3519" s="12" t="str">
        <f>"FES1162743914"</f>
        <v>FES1162743914</v>
      </c>
      <c r="C3519" s="7" t="s">
        <v>2353</v>
      </c>
      <c r="D3519" s="7">
        <v>1</v>
      </c>
      <c r="E3519" s="7" t="str">
        <f>"2170735267"</f>
        <v>2170735267</v>
      </c>
      <c r="F3519" s="7" t="s">
        <v>17</v>
      </c>
      <c r="G3519" s="7" t="s">
        <v>18</v>
      </c>
      <c r="H3519" s="7" t="s">
        <v>100</v>
      </c>
      <c r="I3519" s="7" t="s">
        <v>101</v>
      </c>
      <c r="J3519" s="7" t="s">
        <v>101</v>
      </c>
      <c r="K3519" s="7" t="s">
        <v>2359</v>
      </c>
      <c r="L3519" s="13">
        <v>0.25277777777777777</v>
      </c>
      <c r="M3519" s="7" t="s">
        <v>448</v>
      </c>
      <c r="N3519" s="7" t="s">
        <v>2282</v>
      </c>
      <c r="O3519" s="7"/>
    </row>
    <row r="3520" spans="1:15">
      <c r="A3520" s="7" t="s">
        <v>15</v>
      </c>
      <c r="B3520" s="12" t="str">
        <f>"FES1162743903"</f>
        <v>FES1162743903</v>
      </c>
      <c r="C3520" s="7" t="s">
        <v>2353</v>
      </c>
      <c r="D3520" s="7">
        <v>1</v>
      </c>
      <c r="E3520" s="7" t="str">
        <f>"2170734254"</f>
        <v>2170734254</v>
      </c>
      <c r="F3520" s="7" t="s">
        <v>17</v>
      </c>
      <c r="G3520" s="7" t="s">
        <v>18</v>
      </c>
      <c r="H3520" s="7" t="s">
        <v>100</v>
      </c>
      <c r="I3520" s="7" t="s">
        <v>2314</v>
      </c>
      <c r="J3520" s="7" t="s">
        <v>101</v>
      </c>
      <c r="K3520" s="7" t="s">
        <v>2359</v>
      </c>
      <c r="L3520" s="13">
        <v>0.25208333333333333</v>
      </c>
      <c r="M3520" s="7" t="s">
        <v>448</v>
      </c>
      <c r="N3520" s="7" t="s">
        <v>2282</v>
      </c>
      <c r="O3520" s="7"/>
    </row>
    <row r="3521" spans="1:15">
      <c r="A3521" s="7" t="s">
        <v>15</v>
      </c>
      <c r="B3521" s="12" t="str">
        <f>"FES1162743906"</f>
        <v>FES1162743906</v>
      </c>
      <c r="C3521" s="7" t="s">
        <v>2353</v>
      </c>
      <c r="D3521" s="7">
        <v>1</v>
      </c>
      <c r="E3521" s="7" t="str">
        <f>"2170734863"</f>
        <v>2170734863</v>
      </c>
      <c r="F3521" s="7" t="s">
        <v>17</v>
      </c>
      <c r="G3521" s="7" t="s">
        <v>18</v>
      </c>
      <c r="H3521" s="7" t="s">
        <v>19</v>
      </c>
      <c r="I3521" s="7" t="s">
        <v>890</v>
      </c>
      <c r="J3521" s="7" t="s">
        <v>20</v>
      </c>
      <c r="K3521" s="7" t="s">
        <v>2359</v>
      </c>
      <c r="L3521" s="13">
        <v>0.33819444444444446</v>
      </c>
      <c r="M3521" s="7" t="s">
        <v>448</v>
      </c>
      <c r="N3521" s="7" t="s">
        <v>2282</v>
      </c>
      <c r="O3521" s="7"/>
    </row>
    <row r="3522" spans="1:15">
      <c r="A3522" s="7" t="s">
        <v>15</v>
      </c>
      <c r="B3522" s="12" t="str">
        <f>"FES1162743916"</f>
        <v>FES1162743916</v>
      </c>
      <c r="C3522" s="7" t="s">
        <v>2353</v>
      </c>
      <c r="D3522" s="7">
        <v>1</v>
      </c>
      <c r="E3522" s="7" t="str">
        <f>"2170734295"</f>
        <v>2170734295</v>
      </c>
      <c r="F3522" s="7" t="s">
        <v>17</v>
      </c>
      <c r="G3522" s="7" t="s">
        <v>18</v>
      </c>
      <c r="H3522" s="7" t="s">
        <v>19</v>
      </c>
      <c r="I3522" s="7" t="s">
        <v>20</v>
      </c>
      <c r="J3522" s="7" t="s">
        <v>20</v>
      </c>
      <c r="K3522" s="7" t="s">
        <v>2359</v>
      </c>
      <c r="L3522" s="13">
        <v>0.34027777777777773</v>
      </c>
      <c r="M3522" s="7" t="s">
        <v>448</v>
      </c>
      <c r="N3522" s="7" t="s">
        <v>2282</v>
      </c>
      <c r="O3522" s="7"/>
    </row>
    <row r="3523" spans="1:15">
      <c r="A3523" s="3" t="s">
        <v>15</v>
      </c>
      <c r="B3523" s="2" t="str">
        <f>"FES1162743893"</f>
        <v>FES1162743893</v>
      </c>
      <c r="C3523" s="3" t="s">
        <v>2353</v>
      </c>
      <c r="D3523" s="3">
        <v>1</v>
      </c>
      <c r="E3523" s="3" t="str">
        <f>"2170735248"</f>
        <v>2170735248</v>
      </c>
      <c r="F3523" s="3" t="s">
        <v>17</v>
      </c>
      <c r="G3523" s="3" t="s">
        <v>18</v>
      </c>
      <c r="H3523" s="3" t="s">
        <v>100</v>
      </c>
      <c r="I3523" s="3" t="s">
        <v>117</v>
      </c>
      <c r="J3523" s="3" t="s">
        <v>101</v>
      </c>
      <c r="K3523" s="3" t="s">
        <v>2359</v>
      </c>
      <c r="L3523" s="4">
        <v>0.24097222222222223</v>
      </c>
      <c r="M3523" s="3" t="s">
        <v>2361</v>
      </c>
      <c r="N3523" s="3" t="s">
        <v>24</v>
      </c>
      <c r="O3523" s="3"/>
    </row>
    <row r="3524" spans="1:15">
      <c r="A3524" s="3" t="s">
        <v>15</v>
      </c>
      <c r="B3524" s="2" t="str">
        <f>"FES1162743908"</f>
        <v>FES1162743908</v>
      </c>
      <c r="C3524" s="3" t="s">
        <v>2353</v>
      </c>
      <c r="D3524" s="3">
        <v>1</v>
      </c>
      <c r="E3524" s="3" t="str">
        <f>"2170735251"</f>
        <v>2170735251</v>
      </c>
      <c r="F3524" s="3" t="s">
        <v>17</v>
      </c>
      <c r="G3524" s="3" t="s">
        <v>18</v>
      </c>
      <c r="H3524" s="3" t="s">
        <v>100</v>
      </c>
      <c r="I3524" s="3" t="s">
        <v>101</v>
      </c>
      <c r="J3524" s="3" t="s">
        <v>101</v>
      </c>
      <c r="K3524" s="3" t="s">
        <v>2359</v>
      </c>
      <c r="L3524" s="4">
        <v>0.23402777777777781</v>
      </c>
      <c r="M3524" s="3" t="s">
        <v>2360</v>
      </c>
      <c r="N3524" s="3" t="s">
        <v>24</v>
      </c>
      <c r="O3524" s="3"/>
    </row>
    <row r="3525" spans="1:15">
      <c r="A3525" s="3" t="s">
        <v>15</v>
      </c>
      <c r="B3525" s="2" t="str">
        <f>"FES1162743909"</f>
        <v>FES1162743909</v>
      </c>
      <c r="C3525" s="3" t="s">
        <v>2353</v>
      </c>
      <c r="D3525" s="3">
        <v>2</v>
      </c>
      <c r="E3525" s="3" t="str">
        <f>"2170735254"</f>
        <v>2170735254</v>
      </c>
      <c r="F3525" s="3" t="s">
        <v>17</v>
      </c>
      <c r="G3525" s="3" t="s">
        <v>18</v>
      </c>
      <c r="H3525" s="3" t="s">
        <v>100</v>
      </c>
      <c r="I3525" s="3" t="s">
        <v>101</v>
      </c>
      <c r="J3525" s="3" t="s">
        <v>101</v>
      </c>
      <c r="K3525" s="3" t="s">
        <v>2359</v>
      </c>
      <c r="L3525" s="4">
        <v>0.24722222222222223</v>
      </c>
      <c r="M3525" s="3" t="s">
        <v>2360</v>
      </c>
      <c r="N3525" s="3" t="s">
        <v>24</v>
      </c>
      <c r="O3525" s="3"/>
    </row>
    <row r="3526" spans="1:15">
      <c r="A3526" s="7" t="s">
        <v>15</v>
      </c>
      <c r="B3526" s="12" t="str">
        <f>"FES1162743918"</f>
        <v>FES1162743918</v>
      </c>
      <c r="C3526" s="7" t="s">
        <v>2353</v>
      </c>
      <c r="D3526" s="7">
        <v>1</v>
      </c>
      <c r="E3526" s="7" t="str">
        <f>"217073527"</f>
        <v>217073527</v>
      </c>
      <c r="F3526" s="7" t="s">
        <v>17</v>
      </c>
      <c r="G3526" s="7" t="s">
        <v>18</v>
      </c>
      <c r="H3526" s="7" t="s">
        <v>100</v>
      </c>
      <c r="I3526" s="7" t="s">
        <v>101</v>
      </c>
      <c r="J3526" s="7" t="s">
        <v>101</v>
      </c>
      <c r="K3526" s="7" t="s">
        <v>2359</v>
      </c>
      <c r="L3526" s="13">
        <v>0.25069444444444444</v>
      </c>
      <c r="M3526" s="7" t="s">
        <v>448</v>
      </c>
      <c r="N3526" s="7" t="s">
        <v>2282</v>
      </c>
      <c r="O3526" s="7"/>
    </row>
    <row r="3527" spans="1:15">
      <c r="A3527" s="3" t="s">
        <v>15</v>
      </c>
      <c r="B3527" s="2" t="str">
        <f>"FES1162743904"</f>
        <v>FES1162743904</v>
      </c>
      <c r="C3527" s="3" t="s">
        <v>2353</v>
      </c>
      <c r="D3527" s="3">
        <v>1</v>
      </c>
      <c r="E3527" s="3" t="str">
        <f>"2170734355"</f>
        <v>2170734355</v>
      </c>
      <c r="F3527" s="3" t="s">
        <v>17</v>
      </c>
      <c r="G3527" s="3" t="s">
        <v>18</v>
      </c>
      <c r="H3527" s="3" t="s">
        <v>100</v>
      </c>
      <c r="I3527" s="3" t="s">
        <v>101</v>
      </c>
      <c r="J3527" s="3" t="s">
        <v>101</v>
      </c>
      <c r="K3527" s="3" t="s">
        <v>2359</v>
      </c>
      <c r="L3527" s="4">
        <v>0.23750000000000002</v>
      </c>
      <c r="M3527" s="3" t="s">
        <v>1324</v>
      </c>
      <c r="N3527" s="3" t="s">
        <v>24</v>
      </c>
      <c r="O3527" s="3"/>
    </row>
    <row r="3528" spans="1:15">
      <c r="A3528" s="7" t="s">
        <v>15</v>
      </c>
      <c r="B3528" s="12" t="str">
        <f>"FES1162743895"</f>
        <v>FES1162743895</v>
      </c>
      <c r="C3528" s="7" t="s">
        <v>2353</v>
      </c>
      <c r="D3528" s="7">
        <v>1</v>
      </c>
      <c r="E3528" s="7" t="str">
        <f>"2170735250"</f>
        <v>2170735250</v>
      </c>
      <c r="F3528" s="7" t="s">
        <v>17</v>
      </c>
      <c r="G3528" s="7" t="s">
        <v>18</v>
      </c>
      <c r="H3528" s="7" t="s">
        <v>18</v>
      </c>
      <c r="I3528" s="7" t="s">
        <v>341</v>
      </c>
      <c r="J3528" s="7" t="s">
        <v>18</v>
      </c>
      <c r="K3528" s="7" t="s">
        <v>2353</v>
      </c>
      <c r="L3528" s="13">
        <v>0.68472222222222223</v>
      </c>
      <c r="M3528" s="7" t="s">
        <v>448</v>
      </c>
      <c r="N3528" s="7" t="s">
        <v>2282</v>
      </c>
      <c r="O3528" s="7"/>
    </row>
    <row r="3529" spans="1:15">
      <c r="A3529" s="3" t="s">
        <v>15</v>
      </c>
      <c r="B3529" s="2" t="str">
        <f>"FES1162743927"</f>
        <v>FES1162743927</v>
      </c>
      <c r="C3529" s="3" t="s">
        <v>2353</v>
      </c>
      <c r="D3529" s="3">
        <v>1</v>
      </c>
      <c r="E3529" s="3" t="str">
        <f>"2170732575"</f>
        <v>2170732575</v>
      </c>
      <c r="F3529" s="3" t="s">
        <v>17</v>
      </c>
      <c r="G3529" s="3" t="s">
        <v>18</v>
      </c>
      <c r="H3529" s="3" t="s">
        <v>18</v>
      </c>
      <c r="I3529" s="3" t="s">
        <v>29</v>
      </c>
      <c r="J3529" s="3" t="s">
        <v>18</v>
      </c>
      <c r="K3529" s="3" t="s">
        <v>2353</v>
      </c>
      <c r="L3529" s="4">
        <v>0.68472222222222223</v>
      </c>
      <c r="M3529" s="3" t="s">
        <v>2362</v>
      </c>
      <c r="N3529" s="3" t="s">
        <v>24</v>
      </c>
      <c r="O3529" s="3"/>
    </row>
    <row r="3530" spans="1:15">
      <c r="A3530" s="3" t="s">
        <v>15</v>
      </c>
      <c r="B3530" s="2" t="str">
        <f>"FES1162743932"</f>
        <v>FES1162743932</v>
      </c>
      <c r="C3530" s="3" t="s">
        <v>2353</v>
      </c>
      <c r="D3530" s="3">
        <v>1</v>
      </c>
      <c r="E3530" s="3" t="str">
        <f>"2170735283"</f>
        <v>2170735283</v>
      </c>
      <c r="F3530" s="3" t="s">
        <v>17</v>
      </c>
      <c r="G3530" s="3" t="s">
        <v>18</v>
      </c>
      <c r="H3530" s="3" t="s">
        <v>18</v>
      </c>
      <c r="I3530" s="3" t="s">
        <v>168</v>
      </c>
      <c r="J3530" s="3" t="s">
        <v>18</v>
      </c>
      <c r="K3530" s="3" t="s">
        <v>2353</v>
      </c>
      <c r="L3530" s="4">
        <v>0.68472222222222223</v>
      </c>
      <c r="M3530" s="3" t="s">
        <v>2363</v>
      </c>
      <c r="N3530" s="3" t="s">
        <v>24</v>
      </c>
      <c r="O3530" s="3"/>
    </row>
    <row r="3531" spans="1:15">
      <c r="A3531" s="3" t="s">
        <v>15</v>
      </c>
      <c r="B3531" s="2" t="str">
        <f>"FES1162743920"</f>
        <v>FES1162743920</v>
      </c>
      <c r="C3531" s="3" t="s">
        <v>2353</v>
      </c>
      <c r="D3531" s="3">
        <v>1</v>
      </c>
      <c r="E3531" s="3" t="str">
        <f>"2170735273"</f>
        <v>2170735273</v>
      </c>
      <c r="F3531" s="3" t="s">
        <v>17</v>
      </c>
      <c r="G3531" s="3" t="s">
        <v>18</v>
      </c>
      <c r="H3531" s="3" t="s">
        <v>18</v>
      </c>
      <c r="I3531" s="3" t="s">
        <v>171</v>
      </c>
      <c r="J3531" s="3" t="s">
        <v>18</v>
      </c>
      <c r="K3531" s="3" t="s">
        <v>2353</v>
      </c>
      <c r="L3531" s="4">
        <v>0.68472222222222223</v>
      </c>
      <c r="M3531" s="3" t="s">
        <v>691</v>
      </c>
      <c r="N3531" s="3" t="s">
        <v>24</v>
      </c>
      <c r="O3531" s="3"/>
    </row>
    <row r="3532" spans="1:15">
      <c r="A3532" s="7" t="s">
        <v>15</v>
      </c>
      <c r="B3532" s="12" t="str">
        <f>"FES1162743929"</f>
        <v>FES1162743929</v>
      </c>
      <c r="C3532" s="7" t="s">
        <v>2353</v>
      </c>
      <c r="D3532" s="7">
        <v>1</v>
      </c>
      <c r="E3532" s="7" t="str">
        <f>"2170734980"</f>
        <v>2170734980</v>
      </c>
      <c r="F3532" s="7" t="s">
        <v>17</v>
      </c>
      <c r="G3532" s="7" t="s">
        <v>18</v>
      </c>
      <c r="H3532" s="7" t="s">
        <v>18</v>
      </c>
      <c r="I3532" s="7" t="s">
        <v>33</v>
      </c>
      <c r="J3532" s="7" t="s">
        <v>18</v>
      </c>
      <c r="K3532" s="7" t="s">
        <v>2353</v>
      </c>
      <c r="L3532" s="13">
        <v>0.68472222222222223</v>
      </c>
      <c r="M3532" s="7" t="s">
        <v>448</v>
      </c>
      <c r="N3532" s="7" t="s">
        <v>2282</v>
      </c>
      <c r="O3532" s="7"/>
    </row>
    <row r="3533" spans="1:15">
      <c r="A3533" s="3" t="s">
        <v>15</v>
      </c>
      <c r="B3533" s="2" t="str">
        <f>"FES1162743922"</f>
        <v>FES1162743922</v>
      </c>
      <c r="C3533" s="3" t="s">
        <v>2353</v>
      </c>
      <c r="D3533" s="3">
        <v>1</v>
      </c>
      <c r="E3533" s="3" t="str">
        <f>"2170735274"</f>
        <v>2170735274</v>
      </c>
      <c r="F3533" s="3" t="s">
        <v>17</v>
      </c>
      <c r="G3533" s="3" t="s">
        <v>18</v>
      </c>
      <c r="H3533" s="3" t="s">
        <v>66</v>
      </c>
      <c r="I3533" s="3" t="s">
        <v>67</v>
      </c>
      <c r="J3533" s="3" t="s">
        <v>67</v>
      </c>
      <c r="K3533" s="3" t="s">
        <v>2359</v>
      </c>
      <c r="L3533" s="4">
        <v>0.30486111111111108</v>
      </c>
      <c r="M3533" s="3" t="s">
        <v>2364</v>
      </c>
      <c r="N3533" s="3" t="s">
        <v>24</v>
      </c>
      <c r="O3533" s="3"/>
    </row>
    <row r="3534" spans="1:15">
      <c r="A3534" s="11" t="s">
        <v>15</v>
      </c>
      <c r="B3534" s="17" t="str">
        <f>"009935712355"</f>
        <v>009935712355</v>
      </c>
      <c r="C3534" s="11" t="s">
        <v>2353</v>
      </c>
      <c r="D3534" s="11">
        <v>1</v>
      </c>
      <c r="E3534" s="11" t="str">
        <f>"PEPHEDIA"</f>
        <v>PEPHEDIA</v>
      </c>
      <c r="F3534" s="11" t="s">
        <v>17</v>
      </c>
      <c r="G3534" s="11" t="s">
        <v>18</v>
      </c>
      <c r="H3534" s="11" t="s">
        <v>19</v>
      </c>
      <c r="I3534" s="11" t="s">
        <v>20</v>
      </c>
      <c r="J3534" s="11" t="s">
        <v>20</v>
      </c>
      <c r="K3534" s="11" t="s">
        <v>2365</v>
      </c>
      <c r="L3534" s="18"/>
      <c r="M3534" s="11" t="s">
        <v>448</v>
      </c>
      <c r="N3534" s="11" t="s">
        <v>2366</v>
      </c>
      <c r="O3534" s="11"/>
    </row>
    <row r="3535" spans="1:15">
      <c r="A3535" s="11" t="s">
        <v>15</v>
      </c>
      <c r="B3535" s="17" t="str">
        <f>"FES1162743928"</f>
        <v>FES1162743928</v>
      </c>
      <c r="C3535" s="11" t="s">
        <v>2353</v>
      </c>
      <c r="D3535" s="11">
        <v>1</v>
      </c>
      <c r="E3535" s="11" t="str">
        <f>"2170734926"</f>
        <v>2170734926</v>
      </c>
      <c r="F3535" s="11" t="s">
        <v>17</v>
      </c>
      <c r="G3535" s="11" t="s">
        <v>18</v>
      </c>
      <c r="H3535" s="11" t="s">
        <v>70</v>
      </c>
      <c r="I3535" s="11" t="s">
        <v>507</v>
      </c>
      <c r="J3535" s="11"/>
      <c r="K3535" s="11" t="s">
        <v>2365</v>
      </c>
      <c r="L3535" s="11" t="s">
        <v>2293</v>
      </c>
      <c r="M3535" s="11" t="s">
        <v>448</v>
      </c>
      <c r="N3535" s="11" t="s">
        <v>2366</v>
      </c>
      <c r="O3535" s="11"/>
    </row>
    <row r="3536" spans="1:15">
      <c r="A3536" s="3" t="s">
        <v>15</v>
      </c>
      <c r="B3536" s="2" t="str">
        <f>"FES1162743936"</f>
        <v>FES1162743936</v>
      </c>
      <c r="C3536" s="3" t="s">
        <v>2353</v>
      </c>
      <c r="D3536" s="3">
        <v>1</v>
      </c>
      <c r="E3536" s="3" t="str">
        <f>"2170735288"</f>
        <v>2170735288</v>
      </c>
      <c r="F3536" s="3" t="s">
        <v>17</v>
      </c>
      <c r="G3536" s="3" t="s">
        <v>18</v>
      </c>
      <c r="H3536" s="3" t="s">
        <v>66</v>
      </c>
      <c r="I3536" s="3" t="s">
        <v>67</v>
      </c>
      <c r="J3536" s="3" t="s">
        <v>67</v>
      </c>
      <c r="K3536" s="3" t="s">
        <v>2359</v>
      </c>
      <c r="L3536" s="4">
        <v>0.30694444444444441</v>
      </c>
      <c r="M3536" s="3" t="s">
        <v>2364</v>
      </c>
      <c r="N3536" s="3" t="s">
        <v>24</v>
      </c>
      <c r="O3536" s="3"/>
    </row>
    <row r="3537" spans="1:15">
      <c r="A3537" s="11" t="s">
        <v>15</v>
      </c>
      <c r="B3537" s="17" t="str">
        <f>"FES1162743939"</f>
        <v>FES1162743939</v>
      </c>
      <c r="C3537" s="11" t="s">
        <v>2353</v>
      </c>
      <c r="D3537" s="11">
        <v>1</v>
      </c>
      <c r="E3537" s="11" t="str">
        <f>"2170735290"</f>
        <v>2170735290</v>
      </c>
      <c r="F3537" s="11" t="s">
        <v>17</v>
      </c>
      <c r="G3537" s="11" t="s">
        <v>18</v>
      </c>
      <c r="H3537" s="11" t="s">
        <v>18</v>
      </c>
      <c r="I3537" s="11" t="s">
        <v>309</v>
      </c>
      <c r="J3537" s="11" t="s">
        <v>18</v>
      </c>
      <c r="K3537" s="11" t="s">
        <v>2353</v>
      </c>
      <c r="L3537" s="18"/>
      <c r="M3537" s="11" t="s">
        <v>448</v>
      </c>
      <c r="N3537" s="11" t="s">
        <v>2366</v>
      </c>
      <c r="O3537" s="11"/>
    </row>
    <row r="3538" spans="1:15">
      <c r="A3538" s="7" t="s">
        <v>15</v>
      </c>
      <c r="B3538" s="12" t="str">
        <f>"FES1162743942"</f>
        <v>FES1162743942</v>
      </c>
      <c r="C3538" s="7" t="s">
        <v>2353</v>
      </c>
      <c r="D3538" s="7">
        <v>1</v>
      </c>
      <c r="E3538" s="7" t="str">
        <f>"2170735296"</f>
        <v>2170735296</v>
      </c>
      <c r="F3538" s="7" t="s">
        <v>17</v>
      </c>
      <c r="G3538" s="7" t="s">
        <v>18</v>
      </c>
      <c r="H3538" s="7" t="s">
        <v>46</v>
      </c>
      <c r="I3538" s="7" t="s">
        <v>47</v>
      </c>
      <c r="J3538" s="7" t="s">
        <v>47</v>
      </c>
      <c r="K3538" s="7" t="s">
        <v>2359</v>
      </c>
      <c r="L3538" s="13"/>
      <c r="M3538" s="7" t="s">
        <v>448</v>
      </c>
      <c r="N3538" s="7" t="s">
        <v>2282</v>
      </c>
      <c r="O3538" s="7"/>
    </row>
    <row r="3539" spans="1:15">
      <c r="A3539" s="3" t="s">
        <v>15</v>
      </c>
      <c r="B3539" s="2" t="str">
        <f>"FES1162743926"</f>
        <v>FES1162743926</v>
      </c>
      <c r="C3539" s="3" t="s">
        <v>2353</v>
      </c>
      <c r="D3539" s="3">
        <v>1</v>
      </c>
      <c r="E3539" s="3" t="str">
        <f>"2170732014"</f>
        <v>2170732014</v>
      </c>
      <c r="F3539" s="3" t="s">
        <v>17</v>
      </c>
      <c r="G3539" s="3" t="s">
        <v>18</v>
      </c>
      <c r="H3539" s="3" t="s">
        <v>100</v>
      </c>
      <c r="I3539" s="3" t="s">
        <v>101</v>
      </c>
      <c r="J3539" s="3" t="s">
        <v>101</v>
      </c>
      <c r="K3539" s="3" t="s">
        <v>2359</v>
      </c>
      <c r="L3539" s="4">
        <v>0.23402777777777781</v>
      </c>
      <c r="M3539" s="3" t="s">
        <v>2367</v>
      </c>
      <c r="N3539" s="3" t="s">
        <v>24</v>
      </c>
      <c r="O3539" s="3"/>
    </row>
    <row r="3540" spans="1:15">
      <c r="A3540" s="7" t="s">
        <v>15</v>
      </c>
      <c r="B3540" s="12" t="str">
        <f>"FES1162743947"</f>
        <v>FES1162743947</v>
      </c>
      <c r="C3540" s="7" t="s">
        <v>2353</v>
      </c>
      <c r="D3540" s="7">
        <v>1</v>
      </c>
      <c r="E3540" s="7" t="str">
        <f>"2170735303"</f>
        <v>2170735303</v>
      </c>
      <c r="F3540" s="7" t="s">
        <v>17</v>
      </c>
      <c r="G3540" s="7" t="s">
        <v>18</v>
      </c>
      <c r="H3540" s="7" t="s">
        <v>19</v>
      </c>
      <c r="I3540" s="7" t="s">
        <v>1241</v>
      </c>
      <c r="J3540" s="7" t="s">
        <v>20</v>
      </c>
      <c r="K3540" s="7" t="s">
        <v>2359</v>
      </c>
      <c r="L3540" s="13">
        <v>0.33958333333333335</v>
      </c>
      <c r="M3540" s="7" t="s">
        <v>448</v>
      </c>
      <c r="N3540" s="7" t="s">
        <v>2282</v>
      </c>
      <c r="O3540" s="7"/>
    </row>
    <row r="3541" spans="1:15">
      <c r="A3541" s="7" t="s">
        <v>15</v>
      </c>
      <c r="B3541" s="12" t="str">
        <f>"FES1162743943"</f>
        <v>FES1162743943</v>
      </c>
      <c r="C3541" s="7" t="s">
        <v>2353</v>
      </c>
      <c r="D3541" s="7">
        <v>1</v>
      </c>
      <c r="E3541" s="7" t="str">
        <f>"2170735297"</f>
        <v>2170735297</v>
      </c>
      <c r="F3541" s="7" t="s">
        <v>17</v>
      </c>
      <c r="G3541" s="7" t="s">
        <v>18</v>
      </c>
      <c r="H3541" s="7" t="s">
        <v>46</v>
      </c>
      <c r="I3541" s="7" t="s">
        <v>47</v>
      </c>
      <c r="J3541" s="7" t="s">
        <v>47</v>
      </c>
      <c r="K3541" s="7" t="s">
        <v>2359</v>
      </c>
      <c r="L3541" s="13">
        <v>0.31597222222222221</v>
      </c>
      <c r="M3541" s="7" t="s">
        <v>448</v>
      </c>
      <c r="N3541" s="7" t="s">
        <v>2282</v>
      </c>
      <c r="O3541" s="7"/>
    </row>
    <row r="3542" spans="1:15">
      <c r="A3542" s="7" t="s">
        <v>15</v>
      </c>
      <c r="B3542" s="12" t="str">
        <f>"FES1162743935"</f>
        <v>FES1162743935</v>
      </c>
      <c r="C3542" s="7" t="s">
        <v>2353</v>
      </c>
      <c r="D3542" s="7">
        <v>1</v>
      </c>
      <c r="E3542" s="7" t="str">
        <f>"2170735287"</f>
        <v>2170735287</v>
      </c>
      <c r="F3542" s="7" t="s">
        <v>17</v>
      </c>
      <c r="G3542" s="7" t="s">
        <v>18</v>
      </c>
      <c r="H3542" s="7" t="s">
        <v>18</v>
      </c>
      <c r="I3542" s="7" t="s">
        <v>341</v>
      </c>
      <c r="J3542" s="7" t="s">
        <v>18</v>
      </c>
      <c r="K3542" s="7" t="s">
        <v>2353</v>
      </c>
      <c r="L3542" s="13">
        <v>0.68472222222222223</v>
      </c>
      <c r="M3542" s="7" t="s">
        <v>448</v>
      </c>
      <c r="N3542" s="7" t="s">
        <v>2282</v>
      </c>
      <c r="O3542" s="7"/>
    </row>
    <row r="3543" spans="1:15">
      <c r="A3543" s="7" t="s">
        <v>15</v>
      </c>
      <c r="B3543" s="12" t="str">
        <f>"FES1162743941"</f>
        <v>FES1162743941</v>
      </c>
      <c r="C3543" s="7" t="s">
        <v>2353</v>
      </c>
      <c r="D3543" s="7">
        <v>1</v>
      </c>
      <c r="E3543" s="7" t="str">
        <f>"2170735294"</f>
        <v>2170735294</v>
      </c>
      <c r="F3543" s="7" t="s">
        <v>17</v>
      </c>
      <c r="G3543" s="7" t="s">
        <v>18</v>
      </c>
      <c r="H3543" s="7" t="s">
        <v>18</v>
      </c>
      <c r="I3543" s="7" t="s">
        <v>341</v>
      </c>
      <c r="J3543" s="7" t="s">
        <v>18</v>
      </c>
      <c r="K3543" s="7" t="s">
        <v>2353</v>
      </c>
      <c r="L3543" s="13">
        <v>0.68472222222222223</v>
      </c>
      <c r="M3543" s="7" t="s">
        <v>448</v>
      </c>
      <c r="N3543" s="7" t="s">
        <v>2282</v>
      </c>
      <c r="O3543" s="7"/>
    </row>
    <row r="3544" spans="1:15">
      <c r="A3544" s="3" t="s">
        <v>15</v>
      </c>
      <c r="B3544" s="2" t="str">
        <f>"FES1162743944"</f>
        <v>FES1162743944</v>
      </c>
      <c r="C3544" s="3" t="s">
        <v>2353</v>
      </c>
      <c r="D3544" s="3">
        <v>1</v>
      </c>
      <c r="E3544" s="3" t="str">
        <f>"2170735300"</f>
        <v>2170735300</v>
      </c>
      <c r="F3544" s="3" t="s">
        <v>17</v>
      </c>
      <c r="G3544" s="3" t="s">
        <v>18</v>
      </c>
      <c r="H3544" s="3" t="s">
        <v>100</v>
      </c>
      <c r="I3544" s="3" t="s">
        <v>101</v>
      </c>
      <c r="J3544" s="3" t="s">
        <v>101</v>
      </c>
      <c r="K3544" s="3" t="s">
        <v>2359</v>
      </c>
      <c r="L3544" s="4">
        <v>0.23472222222222219</v>
      </c>
      <c r="M3544" s="3" t="s">
        <v>2368</v>
      </c>
      <c r="N3544" s="3" t="s">
        <v>24</v>
      </c>
      <c r="O3544" s="3"/>
    </row>
    <row r="3545" spans="1:15">
      <c r="A3545" s="3" t="s">
        <v>15</v>
      </c>
      <c r="B3545" s="2" t="str">
        <f>"FES1162743956"</f>
        <v>FES1162743956</v>
      </c>
      <c r="C3545" s="3" t="s">
        <v>2353</v>
      </c>
      <c r="D3545" s="3">
        <v>1</v>
      </c>
      <c r="E3545" s="3" t="str">
        <f>"2170735305"</f>
        <v>2170735305</v>
      </c>
      <c r="F3545" s="3" t="s">
        <v>17</v>
      </c>
      <c r="G3545" s="3" t="s">
        <v>18</v>
      </c>
      <c r="H3545" s="3" t="s">
        <v>100</v>
      </c>
      <c r="I3545" s="3" t="s">
        <v>101</v>
      </c>
      <c r="J3545" s="3" t="s">
        <v>101</v>
      </c>
      <c r="K3545" s="3" t="s">
        <v>2359</v>
      </c>
      <c r="L3545" s="4">
        <v>0.25277777777777777</v>
      </c>
      <c r="M3545" s="3" t="s">
        <v>2360</v>
      </c>
      <c r="N3545" s="3" t="s">
        <v>24</v>
      </c>
      <c r="O3545" s="3"/>
    </row>
    <row r="3546" spans="1:15">
      <c r="A3546" s="3" t="s">
        <v>15</v>
      </c>
      <c r="B3546" s="2" t="str">
        <f>"FES1162743931"</f>
        <v>FES1162743931</v>
      </c>
      <c r="C3546" s="3" t="s">
        <v>2353</v>
      </c>
      <c r="D3546" s="3">
        <v>1</v>
      </c>
      <c r="E3546" s="3" t="str">
        <f>"2170731607"</f>
        <v>2170731607</v>
      </c>
      <c r="F3546" s="3" t="s">
        <v>17</v>
      </c>
      <c r="G3546" s="3" t="s">
        <v>18</v>
      </c>
      <c r="H3546" s="3" t="s">
        <v>100</v>
      </c>
      <c r="I3546" s="3" t="s">
        <v>117</v>
      </c>
      <c r="J3546" s="3" t="s">
        <v>101</v>
      </c>
      <c r="K3546" s="3" t="s">
        <v>2359</v>
      </c>
      <c r="L3546" s="4">
        <v>0.25138888888888888</v>
      </c>
      <c r="M3546" s="3" t="s">
        <v>2361</v>
      </c>
      <c r="N3546" s="3" t="s">
        <v>24</v>
      </c>
      <c r="O3546" s="3"/>
    </row>
    <row r="3547" spans="1:15">
      <c r="A3547" s="7" t="s">
        <v>15</v>
      </c>
      <c r="B3547" s="12" t="str">
        <f>"FES1162743959"</f>
        <v>FES1162743959</v>
      </c>
      <c r="C3547" s="7" t="s">
        <v>2353</v>
      </c>
      <c r="D3547" s="7">
        <v>1</v>
      </c>
      <c r="E3547" s="7" t="str">
        <f>"2170735306"</f>
        <v>2170735306</v>
      </c>
      <c r="F3547" s="7" t="s">
        <v>17</v>
      </c>
      <c r="G3547" s="7" t="s">
        <v>18</v>
      </c>
      <c r="H3547" s="7" t="s">
        <v>18</v>
      </c>
      <c r="I3547" s="7" t="s">
        <v>171</v>
      </c>
      <c r="J3547" s="7" t="s">
        <v>18</v>
      </c>
      <c r="K3547" s="7" t="s">
        <v>2353</v>
      </c>
      <c r="L3547" s="13">
        <v>0.68472222222222223</v>
      </c>
      <c r="M3547" s="7" t="s">
        <v>448</v>
      </c>
      <c r="N3547" s="7" t="s">
        <v>2282</v>
      </c>
      <c r="O3547" s="7"/>
    </row>
    <row r="3548" spans="1:15">
      <c r="A3548" s="7" t="s">
        <v>15</v>
      </c>
      <c r="B3548" s="12" t="str">
        <f>"FES1162743949"</f>
        <v>FES1162743949</v>
      </c>
      <c r="C3548" s="7" t="s">
        <v>2353</v>
      </c>
      <c r="D3548" s="7">
        <v>1</v>
      </c>
      <c r="E3548" s="7" t="str">
        <f>"2170735113"</f>
        <v>2170735113</v>
      </c>
      <c r="F3548" s="7" t="s">
        <v>17</v>
      </c>
      <c r="G3548" s="7" t="s">
        <v>18</v>
      </c>
      <c r="H3548" s="7" t="s">
        <v>100</v>
      </c>
      <c r="I3548" s="7" t="s">
        <v>101</v>
      </c>
      <c r="J3548" s="7" t="s">
        <v>101</v>
      </c>
      <c r="K3548" s="7" t="s">
        <v>2359</v>
      </c>
      <c r="L3548" s="13">
        <v>0.23333333333333331</v>
      </c>
      <c r="M3548" s="7" t="s">
        <v>448</v>
      </c>
      <c r="N3548" s="7" t="s">
        <v>2282</v>
      </c>
      <c r="O3548" s="7"/>
    </row>
    <row r="3549" spans="1:15">
      <c r="A3549" s="3" t="s">
        <v>15</v>
      </c>
      <c r="B3549" s="2" t="str">
        <f>"FES1162743945"</f>
        <v>FES1162743945</v>
      </c>
      <c r="C3549" s="3" t="s">
        <v>2353</v>
      </c>
      <c r="D3549" s="3">
        <v>1</v>
      </c>
      <c r="E3549" s="3" t="str">
        <f>"2170730460"</f>
        <v>2170730460</v>
      </c>
      <c r="F3549" s="3" t="s">
        <v>17</v>
      </c>
      <c r="G3549" s="3" t="s">
        <v>18</v>
      </c>
      <c r="H3549" s="3" t="s">
        <v>18</v>
      </c>
      <c r="I3549" s="3" t="s">
        <v>171</v>
      </c>
      <c r="J3549" s="3" t="s">
        <v>18</v>
      </c>
      <c r="K3549" s="3" t="s">
        <v>2353</v>
      </c>
      <c r="L3549" s="4">
        <v>0.68472222222222223</v>
      </c>
      <c r="M3549" s="3" t="s">
        <v>723</v>
      </c>
      <c r="N3549" s="3" t="s">
        <v>24</v>
      </c>
      <c r="O3549" s="3"/>
    </row>
    <row r="3550" spans="1:15">
      <c r="A3550" s="3" t="s">
        <v>15</v>
      </c>
      <c r="B3550" s="2" t="str">
        <f>"FES1162743951"</f>
        <v>FES1162743951</v>
      </c>
      <c r="C3550" s="3" t="s">
        <v>2353</v>
      </c>
      <c r="D3550" s="3">
        <v>1</v>
      </c>
      <c r="E3550" s="3" t="str">
        <f>"2170734468"</f>
        <v>2170734468</v>
      </c>
      <c r="F3550" s="3" t="s">
        <v>17</v>
      </c>
      <c r="G3550" s="3" t="s">
        <v>18</v>
      </c>
      <c r="H3550" s="3" t="s">
        <v>18</v>
      </c>
      <c r="I3550" s="3" t="s">
        <v>180</v>
      </c>
      <c r="J3550" s="3" t="s">
        <v>18</v>
      </c>
      <c r="K3550" s="3" t="s">
        <v>2353</v>
      </c>
      <c r="L3550" s="4">
        <v>0.68472222222222223</v>
      </c>
      <c r="M3550" s="3" t="s">
        <v>2369</v>
      </c>
      <c r="N3550" s="3" t="s">
        <v>24</v>
      </c>
      <c r="O3550" s="3"/>
    </row>
    <row r="3551" spans="1:15">
      <c r="A3551" s="3" t="s">
        <v>15</v>
      </c>
      <c r="B3551" s="2" t="str">
        <f>"FES1162743958"</f>
        <v>FES1162743958</v>
      </c>
      <c r="C3551" s="3" t="s">
        <v>2353</v>
      </c>
      <c r="D3551" s="3">
        <v>1</v>
      </c>
      <c r="E3551" s="3" t="str">
        <f>"2170734642"</f>
        <v>2170734642</v>
      </c>
      <c r="F3551" s="3" t="s">
        <v>17</v>
      </c>
      <c r="G3551" s="3" t="s">
        <v>18</v>
      </c>
      <c r="H3551" s="3" t="s">
        <v>18</v>
      </c>
      <c r="I3551" s="3" t="s">
        <v>291</v>
      </c>
      <c r="J3551" s="3" t="s">
        <v>18</v>
      </c>
      <c r="K3551" s="3" t="s">
        <v>2353</v>
      </c>
      <c r="L3551" s="4">
        <v>0.68472222222222223</v>
      </c>
      <c r="M3551" s="3" t="s">
        <v>2370</v>
      </c>
      <c r="N3551" s="3" t="s">
        <v>24</v>
      </c>
      <c r="O3551" s="3"/>
    </row>
    <row r="3552" spans="1:15">
      <c r="A3552" s="7" t="s">
        <v>15</v>
      </c>
      <c r="B3552" s="12" t="str">
        <f>"FES1162743953"</f>
        <v>FES1162743953</v>
      </c>
      <c r="C3552" s="7" t="s">
        <v>2353</v>
      </c>
      <c r="D3552" s="7">
        <v>1</v>
      </c>
      <c r="E3552" s="7" t="str">
        <f>"2170734886"</f>
        <v>2170734886</v>
      </c>
      <c r="F3552" s="7" t="s">
        <v>17</v>
      </c>
      <c r="G3552" s="7" t="s">
        <v>18</v>
      </c>
      <c r="H3552" s="7" t="s">
        <v>100</v>
      </c>
      <c r="I3552" s="7" t="s">
        <v>101</v>
      </c>
      <c r="J3552" s="7" t="s">
        <v>101</v>
      </c>
      <c r="K3552" s="7" t="s">
        <v>2359</v>
      </c>
      <c r="L3552" s="13">
        <v>0.24513888888888888</v>
      </c>
      <c r="M3552" s="7" t="s">
        <v>448</v>
      </c>
      <c r="N3552" s="7" t="s">
        <v>2282</v>
      </c>
      <c r="O3552" s="7"/>
    </row>
    <row r="3553" spans="1:15">
      <c r="A3553" s="7" t="s">
        <v>15</v>
      </c>
      <c r="B3553" s="12" t="str">
        <f>"RFES1162742931"</f>
        <v>RFES1162742931</v>
      </c>
      <c r="C3553" s="7" t="s">
        <v>2359</v>
      </c>
      <c r="D3553" s="7">
        <v>1</v>
      </c>
      <c r="E3553" s="7" t="str">
        <f>"2170734270"</f>
        <v>2170734270</v>
      </c>
      <c r="F3553" s="7" t="s">
        <v>17</v>
      </c>
      <c r="G3553" s="7" t="s">
        <v>18</v>
      </c>
      <c r="H3553" s="7" t="s">
        <v>18</v>
      </c>
      <c r="I3553" s="7" t="s">
        <v>29</v>
      </c>
      <c r="J3553" s="7" t="s">
        <v>18</v>
      </c>
      <c r="K3553" s="7" t="s">
        <v>2359</v>
      </c>
      <c r="L3553" s="13">
        <v>0.47569444444444442</v>
      </c>
      <c r="M3553" s="7" t="s">
        <v>2289</v>
      </c>
      <c r="N3553" s="7" t="s">
        <v>2282</v>
      </c>
      <c r="O3553" s="7"/>
    </row>
    <row r="3554" spans="1:15">
      <c r="A3554" s="7" t="s">
        <v>15</v>
      </c>
      <c r="B3554" s="12" t="str">
        <f>"RFES1162743767"</f>
        <v>RFES1162743767</v>
      </c>
      <c r="C3554" s="7" t="s">
        <v>2359</v>
      </c>
      <c r="D3554" s="7">
        <v>1</v>
      </c>
      <c r="E3554" s="7" t="str">
        <f>"2170732981"</f>
        <v>2170732981</v>
      </c>
      <c r="F3554" s="7" t="s">
        <v>17</v>
      </c>
      <c r="G3554" s="7" t="s">
        <v>18</v>
      </c>
      <c r="H3554" s="7" t="s">
        <v>18</v>
      </c>
      <c r="I3554" s="7" t="s">
        <v>29</v>
      </c>
      <c r="J3554" s="7" t="s">
        <v>18</v>
      </c>
      <c r="K3554" s="7" t="s">
        <v>2359</v>
      </c>
      <c r="L3554" s="13">
        <v>0.4604166666666667</v>
      </c>
      <c r="M3554" s="7" t="s">
        <v>2289</v>
      </c>
      <c r="N3554" s="7" t="s">
        <v>2282</v>
      </c>
      <c r="O3554" s="7"/>
    </row>
    <row r="3555" spans="1:15">
      <c r="A3555" s="7" t="s">
        <v>15</v>
      </c>
      <c r="B3555" s="12" t="str">
        <f>"RFES1162743233"</f>
        <v>RFES1162743233</v>
      </c>
      <c r="C3555" s="7" t="s">
        <v>2359</v>
      </c>
      <c r="D3555" s="7">
        <v>1</v>
      </c>
      <c r="E3555" s="7" t="str">
        <f>"2170734669"</f>
        <v>2170734669</v>
      </c>
      <c r="F3555" s="7" t="s">
        <v>17</v>
      </c>
      <c r="G3555" s="7" t="s">
        <v>18</v>
      </c>
      <c r="H3555" s="7" t="s">
        <v>18</v>
      </c>
      <c r="I3555" s="7" t="s">
        <v>29</v>
      </c>
      <c r="J3555" s="7" t="s">
        <v>18</v>
      </c>
      <c r="K3555" s="7" t="s">
        <v>2359</v>
      </c>
      <c r="L3555" s="13">
        <v>0.47083333333333338</v>
      </c>
      <c r="M3555" s="7" t="s">
        <v>2289</v>
      </c>
      <c r="N3555" s="7" t="s">
        <v>2282</v>
      </c>
      <c r="O3555" s="7"/>
    </row>
    <row r="3556" spans="1:15">
      <c r="A3556" s="7" t="s">
        <v>15</v>
      </c>
      <c r="B3556" s="12" t="str">
        <f>"RFES1162743589"</f>
        <v>RFES1162743589</v>
      </c>
      <c r="C3556" s="7" t="s">
        <v>2359</v>
      </c>
      <c r="D3556" s="7">
        <v>1</v>
      </c>
      <c r="E3556" s="7" t="str">
        <f>"2170734984"</f>
        <v>2170734984</v>
      </c>
      <c r="F3556" s="7" t="s">
        <v>17</v>
      </c>
      <c r="G3556" s="7" t="s">
        <v>18</v>
      </c>
      <c r="H3556" s="7" t="s">
        <v>18</v>
      </c>
      <c r="I3556" s="7" t="s">
        <v>29</v>
      </c>
      <c r="J3556" s="7" t="s">
        <v>18</v>
      </c>
      <c r="K3556" s="7" t="s">
        <v>2359</v>
      </c>
      <c r="L3556" s="13">
        <v>0.47291666666666665</v>
      </c>
      <c r="M3556" s="7" t="s">
        <v>2289</v>
      </c>
      <c r="N3556" s="7" t="s">
        <v>2282</v>
      </c>
      <c r="O3556" s="7"/>
    </row>
    <row r="3557" spans="1:15">
      <c r="A3557" s="7" t="s">
        <v>15</v>
      </c>
      <c r="B3557" s="12" t="str">
        <f>"RFES1162743530"</f>
        <v>RFES1162743530</v>
      </c>
      <c r="C3557" s="7" t="s">
        <v>2359</v>
      </c>
      <c r="D3557" s="7">
        <v>1</v>
      </c>
      <c r="E3557" s="7" t="str">
        <f>"2170733515"</f>
        <v>2170733515</v>
      </c>
      <c r="F3557" s="7" t="s">
        <v>17</v>
      </c>
      <c r="G3557" s="7" t="s">
        <v>18</v>
      </c>
      <c r="H3557" s="7" t="s">
        <v>948</v>
      </c>
      <c r="I3557" s="7" t="s">
        <v>29</v>
      </c>
      <c r="J3557" s="7"/>
      <c r="K3557" s="7"/>
      <c r="L3557" s="7" t="s">
        <v>2293</v>
      </c>
      <c r="M3557" s="7" t="s">
        <v>2289</v>
      </c>
      <c r="N3557" s="7" t="s">
        <v>2282</v>
      </c>
      <c r="O3557" s="7"/>
    </row>
    <row r="3558" spans="1:15">
      <c r="A3558" s="7" t="s">
        <v>15</v>
      </c>
      <c r="B3558" s="12" t="str">
        <f>"RFES1162743620"</f>
        <v>RFES1162743620</v>
      </c>
      <c r="C3558" s="7" t="s">
        <v>2359</v>
      </c>
      <c r="D3558" s="7">
        <v>1</v>
      </c>
      <c r="E3558" s="7" t="str">
        <f>"2170735020"</f>
        <v>2170735020</v>
      </c>
      <c r="F3558" s="7" t="s">
        <v>17</v>
      </c>
      <c r="G3558" s="7" t="s">
        <v>18</v>
      </c>
      <c r="H3558" s="7" t="s">
        <v>18</v>
      </c>
      <c r="I3558" s="7" t="s">
        <v>29</v>
      </c>
      <c r="J3558" s="7" t="s">
        <v>18</v>
      </c>
      <c r="K3558" s="7" t="s">
        <v>2359</v>
      </c>
      <c r="L3558" s="13">
        <v>0.4548611111111111</v>
      </c>
      <c r="M3558" s="7" t="s">
        <v>2289</v>
      </c>
      <c r="N3558" s="7" t="s">
        <v>2282</v>
      </c>
      <c r="O3558" s="7"/>
    </row>
    <row r="3559" spans="1:15">
      <c r="A3559" s="7" t="s">
        <v>15</v>
      </c>
      <c r="B3559" s="12" t="str">
        <f>"RFES1162743590"</f>
        <v>RFES1162743590</v>
      </c>
      <c r="C3559" s="7" t="s">
        <v>2359</v>
      </c>
      <c r="D3559" s="7">
        <v>1</v>
      </c>
      <c r="E3559" s="7" t="str">
        <f>"2170734985"</f>
        <v>2170734985</v>
      </c>
      <c r="F3559" s="7" t="s">
        <v>17</v>
      </c>
      <c r="G3559" s="7" t="s">
        <v>18</v>
      </c>
      <c r="H3559" s="7" t="s">
        <v>18</v>
      </c>
      <c r="I3559" s="7" t="s">
        <v>29</v>
      </c>
      <c r="J3559" s="7" t="s">
        <v>18</v>
      </c>
      <c r="K3559" s="7" t="s">
        <v>2359</v>
      </c>
      <c r="L3559" s="13">
        <v>0.45902777777777781</v>
      </c>
      <c r="M3559" s="7" t="s">
        <v>2289</v>
      </c>
      <c r="N3559" s="7" t="s">
        <v>2282</v>
      </c>
      <c r="O3559" s="7"/>
    </row>
    <row r="3560" spans="1:15">
      <c r="A3560" s="7" t="s">
        <v>15</v>
      </c>
      <c r="B3560" s="12" t="str">
        <f>"R009935712245"</f>
        <v>R009935712245</v>
      </c>
      <c r="C3560" s="7" t="s">
        <v>2359</v>
      </c>
      <c r="D3560" s="7">
        <v>1</v>
      </c>
      <c r="E3560" s="7" t="str">
        <f>"116733967"</f>
        <v>116733967</v>
      </c>
      <c r="F3560" s="7" t="s">
        <v>17</v>
      </c>
      <c r="G3560" s="7" t="s">
        <v>18</v>
      </c>
      <c r="H3560" s="7" t="s">
        <v>18</v>
      </c>
      <c r="I3560" s="7" t="s">
        <v>29</v>
      </c>
      <c r="J3560" s="7" t="s">
        <v>18</v>
      </c>
      <c r="K3560" s="7" t="s">
        <v>2359</v>
      </c>
      <c r="L3560" s="13">
        <v>0.46458333333333335</v>
      </c>
      <c r="M3560" s="7" t="s">
        <v>2289</v>
      </c>
      <c r="N3560" s="7" t="s">
        <v>2282</v>
      </c>
      <c r="O3560" s="7"/>
    </row>
    <row r="3561" spans="1:15">
      <c r="A3561" s="7" t="s">
        <v>15</v>
      </c>
      <c r="B3561" s="12" t="str">
        <f>"RFES1162743417"</f>
        <v>RFES1162743417</v>
      </c>
      <c r="C3561" s="7" t="s">
        <v>2359</v>
      </c>
      <c r="D3561" s="7">
        <v>1</v>
      </c>
      <c r="E3561" s="7" t="str">
        <f>"2170734854"</f>
        <v>2170734854</v>
      </c>
      <c r="F3561" s="7" t="s">
        <v>17</v>
      </c>
      <c r="G3561" s="7" t="s">
        <v>18</v>
      </c>
      <c r="H3561" s="7" t="s">
        <v>18</v>
      </c>
      <c r="I3561" s="7" t="s">
        <v>29</v>
      </c>
      <c r="J3561" s="7" t="s">
        <v>18</v>
      </c>
      <c r="K3561" s="7" t="s">
        <v>2359</v>
      </c>
      <c r="L3561" s="13">
        <v>0.46597222222222223</v>
      </c>
      <c r="M3561" s="7" t="s">
        <v>2289</v>
      </c>
      <c r="N3561" s="7" t="s">
        <v>2282</v>
      </c>
      <c r="O3561" s="7"/>
    </row>
    <row r="3562" spans="1:15">
      <c r="A3562" s="7" t="s">
        <v>15</v>
      </c>
      <c r="B3562" s="12" t="str">
        <f>"RFES1162743677"</f>
        <v>RFES1162743677</v>
      </c>
      <c r="C3562" s="7" t="s">
        <v>2359</v>
      </c>
      <c r="D3562" s="7">
        <v>1</v>
      </c>
      <c r="E3562" s="7" t="str">
        <f>"2170732327"</f>
        <v>2170732327</v>
      </c>
      <c r="F3562" s="7" t="s">
        <v>17</v>
      </c>
      <c r="G3562" s="7" t="s">
        <v>18</v>
      </c>
      <c r="H3562" s="7" t="s">
        <v>18</v>
      </c>
      <c r="I3562" s="7" t="s">
        <v>29</v>
      </c>
      <c r="J3562" s="7" t="s">
        <v>18</v>
      </c>
      <c r="K3562" s="7" t="s">
        <v>2359</v>
      </c>
      <c r="L3562" s="13">
        <v>0.47986111111111113</v>
      </c>
      <c r="M3562" s="7" t="s">
        <v>2289</v>
      </c>
      <c r="N3562" s="7" t="s">
        <v>2282</v>
      </c>
      <c r="O3562" s="7"/>
    </row>
    <row r="3563" spans="1:15">
      <c r="A3563" s="7" t="s">
        <v>15</v>
      </c>
      <c r="B3563" s="12" t="str">
        <f>"RFES1162743682"</f>
        <v>RFES1162743682</v>
      </c>
      <c r="C3563" s="7" t="s">
        <v>2359</v>
      </c>
      <c r="D3563" s="7">
        <v>1</v>
      </c>
      <c r="E3563" s="7" t="str">
        <f>"2170732960"</f>
        <v>2170732960</v>
      </c>
      <c r="F3563" s="7" t="s">
        <v>17</v>
      </c>
      <c r="G3563" s="7" t="s">
        <v>18</v>
      </c>
      <c r="H3563" s="7" t="s">
        <v>18</v>
      </c>
      <c r="I3563" s="7" t="s">
        <v>29</v>
      </c>
      <c r="J3563" s="7" t="s">
        <v>18</v>
      </c>
      <c r="K3563" s="7" t="s">
        <v>2359</v>
      </c>
      <c r="L3563" s="13">
        <v>0.48402777777777778</v>
      </c>
      <c r="M3563" s="7" t="s">
        <v>2289</v>
      </c>
      <c r="N3563" s="7" t="s">
        <v>2282</v>
      </c>
      <c r="O3563" s="7"/>
    </row>
    <row r="3564" spans="1:15">
      <c r="A3564" s="7" t="s">
        <v>15</v>
      </c>
      <c r="B3564" s="12" t="str">
        <f>"RFES1162743706"</f>
        <v>RFES1162743706</v>
      </c>
      <c r="C3564" s="7" t="s">
        <v>2359</v>
      </c>
      <c r="D3564" s="7">
        <v>1</v>
      </c>
      <c r="E3564" s="7" t="str">
        <f>"2170735079"</f>
        <v>2170735079</v>
      </c>
      <c r="F3564" s="7" t="s">
        <v>17</v>
      </c>
      <c r="G3564" s="7" t="s">
        <v>18</v>
      </c>
      <c r="H3564" s="7" t="s">
        <v>18</v>
      </c>
      <c r="I3564" s="7" t="s">
        <v>29</v>
      </c>
      <c r="J3564" s="7" t="s">
        <v>18</v>
      </c>
      <c r="K3564" s="7" t="s">
        <v>2359</v>
      </c>
      <c r="L3564" s="13">
        <v>0.48680555555555555</v>
      </c>
      <c r="M3564" s="7" t="s">
        <v>2289</v>
      </c>
      <c r="N3564" s="7" t="s">
        <v>2282</v>
      </c>
      <c r="O3564" s="7"/>
    </row>
    <row r="3565" spans="1:15">
      <c r="A3565" s="3" t="s">
        <v>15</v>
      </c>
      <c r="B3565" s="2" t="str">
        <f>"FES1162743995"</f>
        <v>FES1162743995</v>
      </c>
      <c r="C3565" s="3" t="s">
        <v>2359</v>
      </c>
      <c r="D3565" s="3">
        <v>2</v>
      </c>
      <c r="E3565" s="3" t="str">
        <f>"2170734846"</f>
        <v>2170734846</v>
      </c>
      <c r="F3565" s="3" t="s">
        <v>17</v>
      </c>
      <c r="G3565" s="3" t="s">
        <v>18</v>
      </c>
      <c r="H3565" s="3" t="s">
        <v>100</v>
      </c>
      <c r="I3565" s="3" t="s">
        <v>117</v>
      </c>
      <c r="J3565" s="3" t="s">
        <v>101</v>
      </c>
      <c r="K3565" s="3" t="s">
        <v>2365</v>
      </c>
      <c r="L3565" s="4">
        <v>0.18194444444444444</v>
      </c>
      <c r="M3565" s="3" t="s">
        <v>448</v>
      </c>
      <c r="N3565" s="3" t="s">
        <v>2371</v>
      </c>
      <c r="O3565" s="3"/>
    </row>
    <row r="3566" spans="1:15">
      <c r="A3566" s="11" t="s">
        <v>15</v>
      </c>
      <c r="B3566" s="17" t="str">
        <f>"FES1162744005"</f>
        <v>FES1162744005</v>
      </c>
      <c r="C3566" s="11" t="s">
        <v>2359</v>
      </c>
      <c r="D3566" s="11">
        <v>1</v>
      </c>
      <c r="E3566" s="11" t="str">
        <f>"2170773590"</f>
        <v>2170773590</v>
      </c>
      <c r="F3566" s="11" t="s">
        <v>17</v>
      </c>
      <c r="G3566" s="11" t="s">
        <v>18</v>
      </c>
      <c r="H3566" s="11" t="s">
        <v>18</v>
      </c>
      <c r="I3566" s="11" t="s">
        <v>33</v>
      </c>
      <c r="J3566" s="11" t="s">
        <v>18</v>
      </c>
      <c r="K3566" s="11" t="s">
        <v>2359</v>
      </c>
      <c r="L3566" s="18">
        <v>0.65694444444444444</v>
      </c>
      <c r="M3566" s="11" t="s">
        <v>448</v>
      </c>
      <c r="N3566" s="11" t="s">
        <v>2366</v>
      </c>
      <c r="O3566" s="11"/>
    </row>
    <row r="3567" spans="1:15">
      <c r="A3567" s="11" t="s">
        <v>15</v>
      </c>
      <c r="B3567" s="17" t="str">
        <f>"FES1162743974"</f>
        <v>FES1162743974</v>
      </c>
      <c r="C3567" s="11" t="s">
        <v>2359</v>
      </c>
      <c r="D3567" s="11">
        <v>1</v>
      </c>
      <c r="E3567" s="11" t="str">
        <f>"2170735307"</f>
        <v>2170735307</v>
      </c>
      <c r="F3567" s="11" t="s">
        <v>17</v>
      </c>
      <c r="G3567" s="11" t="s">
        <v>18</v>
      </c>
      <c r="H3567" s="11" t="s">
        <v>18</v>
      </c>
      <c r="I3567" s="11" t="s">
        <v>171</v>
      </c>
      <c r="J3567" s="11" t="s">
        <v>18</v>
      </c>
      <c r="K3567" s="11" t="s">
        <v>2359</v>
      </c>
      <c r="L3567" s="18">
        <v>0.65694444444444444</v>
      </c>
      <c r="M3567" s="11" t="s">
        <v>448</v>
      </c>
      <c r="N3567" s="11" t="s">
        <v>2366</v>
      </c>
      <c r="O3567" s="11"/>
    </row>
  </sheetData>
  <autoFilter ref="A1:O334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2020-04-01T08:11:06Z</dcterms:created>
  <dcterms:modified xsi:type="dcterms:W3CDTF">2020-04-01T08:11:31Z</dcterms:modified>
</cp:coreProperties>
</file>