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915" windowHeight="12855"/>
  </bookViews>
  <sheets>
    <sheet name="J17991" sheetId="1" r:id="rId1"/>
  </sheets>
  <calcPr calcId="145621"/>
</workbook>
</file>

<file path=xl/calcChain.xml><?xml version="1.0" encoding="utf-8"?>
<calcChain xmlns="http://schemas.openxmlformats.org/spreadsheetml/2006/main">
  <c r="P108" i="1" l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<sst xmlns="http://schemas.openxmlformats.org/spreadsheetml/2006/main" count="2252" uniqueCount="472">
  <si>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</si>
  <si>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</si>
  <si>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</si>
  <si>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</si>
  <si>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</si>
  <si>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</si>
  <si>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</si>
  <si>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</si>
  <si>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</si>
  <si>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</si>
  <si>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</si>
  <si>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</si>
  <si>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</si>
  <si>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</si>
  <si>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</si>
  <si>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</si>
  <si>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</si>
  <si>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</si>
  <si>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</si>
  <si>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</si>
  <si>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</si>
  <si>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</si>
  <si>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</si>
  <si>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</si>
  <si>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</si>
  <si>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</si>
  <si>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</si>
  <si>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</si>
  <si>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</si>
  <si>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</si>
  <si>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</si>
  <si>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</si>
  <si>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</si>
  <si>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</si>
  <si>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</si>
  <si>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</si>
  <si>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</si>
  <si>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</si>
  <si>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</si>
  <si>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</si>
  <si>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</si>
  <si>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</si>
  <si>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</si>
  <si>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</si>
  <si>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</si>
  <si>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</si>
  <si>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</si>
  <si>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</si>
  <si>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</si>
  <si>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</si>
  <si>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</si>
  <si>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</si>
  <si>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</si>
  <si>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</si>
  <si>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</si>
  <si>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</si>
  <si>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</si>
  <si>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</si>
  <si>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</si>
  <si>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</si>
  <si>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</si>
  <si>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</si>
  <si>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</si>
  <si>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</si>
  <si>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</si>
  <si>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</si>
  <si>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</si>
  <si>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</si>
  <si>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</si>
  <si>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</si>
  <si>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</si>
  <si>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</si>
  <si>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</si>
  <si>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</si>
  <si>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</si>
  <si>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</si>
  <si>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ON1</t>
  </si>
  <si>
    <t>yes</t>
  </si>
  <si>
    <t>no</t>
  </si>
  <si>
    <t>EAST</t>
  </si>
  <si>
    <t>EAST LONDON</t>
  </si>
  <si>
    <t>PORT3</t>
  </si>
  <si>
    <t>PORT ELIZABETH</t>
  </si>
  <si>
    <t>?</t>
  </si>
  <si>
    <t>FUE / DOC</t>
  </si>
  <si>
    <t>JOHAN</t>
  </si>
  <si>
    <t>JOHANNESBURG</t>
  </si>
  <si>
    <t>UMHLA</t>
  </si>
  <si>
    <t>UMHLANGA ROCKS</t>
  </si>
  <si>
    <t>POD received from cell 0744435413 M</t>
  </si>
  <si>
    <t>PARCEL</t>
  </si>
  <si>
    <t>MIDRA</t>
  </si>
  <si>
    <t>MIDRAND</t>
  </si>
  <si>
    <t>let</t>
  </si>
  <si>
    <t>PRETO</t>
  </si>
  <si>
    <t>PRETORIA</t>
  </si>
  <si>
    <t>DURBA</t>
  </si>
  <si>
    <t>DURBAN</t>
  </si>
  <si>
    <t>PIET1</t>
  </si>
  <si>
    <t>PIETERMARITZBURG</t>
  </si>
  <si>
    <t>POD received from cell 0823051341 M</t>
  </si>
  <si>
    <t>CAPET</t>
  </si>
  <si>
    <t>CAPE TOWN</t>
  </si>
  <si>
    <t>GEORG</t>
  </si>
  <si>
    <t>GEORGE</t>
  </si>
  <si>
    <t>POD received from cell 0810248653 M</t>
  </si>
  <si>
    <t>.</t>
  </si>
  <si>
    <t>POD received from cell 0728723884 M</t>
  </si>
  <si>
    <t>RANDB</t>
  </si>
  <si>
    <t>RANDBURG</t>
  </si>
  <si>
    <t>POD received from cell 0729564722 M</t>
  </si>
  <si>
    <t>Outlying delivery location</t>
  </si>
  <si>
    <t>NGF</t>
  </si>
  <si>
    <t>POD received from cell 0782274968 M</t>
  </si>
  <si>
    <t>POD received from cell 0763378994 M</t>
  </si>
  <si>
    <t>POD received from cell 0644881838 M</t>
  </si>
  <si>
    <t>POD received from cell 0766412100 M</t>
  </si>
  <si>
    <t>POD received from cell 0793441828 M</t>
  </si>
  <si>
    <t>PINET</t>
  </si>
  <si>
    <t>PINETOWN</t>
  </si>
  <si>
    <t>MOSSE</t>
  </si>
  <si>
    <t>MOSSEL BAY</t>
  </si>
  <si>
    <t>POD received from cell 0683536748 M</t>
  </si>
  <si>
    <t>POD received from cell 0670609670 M</t>
  </si>
  <si>
    <t>PAARL</t>
  </si>
  <si>
    <t>Consignee not available)</t>
  </si>
  <si>
    <t>Late linehaul</t>
  </si>
  <si>
    <t>POD received from cell 0833616148 M</t>
  </si>
  <si>
    <t>Late Linehaul Delayed Beyond Skynet Control</t>
  </si>
  <si>
    <t>UAT</t>
  </si>
  <si>
    <t>RD</t>
  </si>
  <si>
    <t>RDL</t>
  </si>
  <si>
    <t>rd1</t>
  </si>
  <si>
    <t>ON2</t>
  </si>
  <si>
    <t>RD2</t>
  </si>
  <si>
    <t>KRUGE</t>
  </si>
  <si>
    <t>KRUGERSDORP</t>
  </si>
  <si>
    <t>Felton</t>
  </si>
  <si>
    <t>TRACY</t>
  </si>
  <si>
    <t>POD received from cell 0732603055 M</t>
  </si>
  <si>
    <t>RD3</t>
  </si>
  <si>
    <t>TONGA</t>
  </si>
  <si>
    <t>TONGAAT</t>
  </si>
  <si>
    <t xml:space="preserve">POD received from cell 0644881838 M     </t>
  </si>
  <si>
    <t>POD received from cell 0792153175 M</t>
  </si>
  <si>
    <t>PIET2</t>
  </si>
  <si>
    <t>PIETERSBURG</t>
  </si>
  <si>
    <t>POD received from cell 0638501267 M</t>
  </si>
  <si>
    <t>POD received from cell 0748410312 M</t>
  </si>
  <si>
    <t>POD received from cell 0784468189 M</t>
  </si>
  <si>
    <t>non</t>
  </si>
  <si>
    <t xml:space="preserve">STRAIT ACCESS TECHNOLOGIES HOL     </t>
  </si>
  <si>
    <t>RDD</t>
  </si>
  <si>
    <t>capet</t>
  </si>
  <si>
    <t>PATRICK</t>
  </si>
  <si>
    <t>Cindy</t>
  </si>
  <si>
    <t>FUE / doc</t>
  </si>
  <si>
    <t>Chantel</t>
  </si>
  <si>
    <t>les</t>
  </si>
  <si>
    <t>VERWO</t>
  </si>
  <si>
    <t>CENTURION</t>
  </si>
  <si>
    <t>rdd</t>
  </si>
  <si>
    <t>NIS</t>
  </si>
  <si>
    <t>POD received from cell 0824283800 M</t>
  </si>
  <si>
    <t>ngf</t>
  </si>
  <si>
    <t>KELLY</t>
  </si>
  <si>
    <t>STANF</t>
  </si>
  <si>
    <t>STANDFORD</t>
  </si>
  <si>
    <t>lep</t>
  </si>
  <si>
    <t>CCH</t>
  </si>
  <si>
    <t>N A</t>
  </si>
  <si>
    <t>POD received from cell 0823217812 M</t>
  </si>
  <si>
    <t>POD received from cell 0727881903 M</t>
  </si>
  <si>
    <t>POD received from cell 0641707990 M</t>
  </si>
  <si>
    <t>jam</t>
  </si>
  <si>
    <t>jaques</t>
  </si>
  <si>
    <t>JOHN</t>
  </si>
  <si>
    <t>LLH</t>
  </si>
  <si>
    <t>vusi</t>
  </si>
  <si>
    <t>POD received from cell 0799731759 M</t>
  </si>
  <si>
    <t>T Koba</t>
  </si>
  <si>
    <t>Michael</t>
  </si>
  <si>
    <t>mpumi</t>
  </si>
  <si>
    <t xml:space="preserve">POD received from cell 0607360100 M     </t>
  </si>
  <si>
    <t>UMTAT</t>
  </si>
  <si>
    <t>UMTATA</t>
  </si>
  <si>
    <t>alb</t>
  </si>
  <si>
    <t>HERMA</t>
  </si>
  <si>
    <t>HERMANUS</t>
  </si>
  <si>
    <t>POD received from cell 0731179044 M</t>
  </si>
  <si>
    <t>RDX</t>
  </si>
  <si>
    <t>Calvin</t>
  </si>
  <si>
    <t xml:space="preserve">N A                                </t>
  </si>
  <si>
    <t>MANAGER</t>
  </si>
  <si>
    <t>NA</t>
  </si>
  <si>
    <t>POD received from cell 0616034769 M</t>
  </si>
  <si>
    <t xml:space="preserve">PVT                                </t>
  </si>
  <si>
    <t>YOLANDA</t>
  </si>
  <si>
    <t>POD received from cell 0781512668 M</t>
  </si>
  <si>
    <t>BLOE1</t>
  </si>
  <si>
    <t>BLOEMFONTEIN</t>
  </si>
  <si>
    <t>KESHIA</t>
  </si>
  <si>
    <t>RD1</t>
  </si>
  <si>
    <t>POD received from cell 0766706547 M</t>
  </si>
  <si>
    <t>rd3</t>
  </si>
  <si>
    <t>UPING</t>
  </si>
  <si>
    <t>UPINGTON</t>
  </si>
  <si>
    <t>POD received from cell 0611162104 M</t>
  </si>
  <si>
    <t>rdy</t>
  </si>
  <si>
    <t>POD received from cell 0634077877 M</t>
  </si>
  <si>
    <t>SIYABULELA</t>
  </si>
  <si>
    <t>the</t>
  </si>
  <si>
    <t>NELSP</t>
  </si>
  <si>
    <t>NELSPRUIT</t>
  </si>
  <si>
    <t>PETER</t>
  </si>
  <si>
    <t>CELESTE</t>
  </si>
  <si>
    <t>POD received from cell 0763875650 M</t>
  </si>
  <si>
    <t>JUANITA</t>
  </si>
  <si>
    <t>NICO</t>
  </si>
  <si>
    <t>POD received from cell 0847649236 M</t>
  </si>
  <si>
    <t>jerry</t>
  </si>
  <si>
    <t>industrial action</t>
  </si>
  <si>
    <t>J17991</t>
  </si>
  <si>
    <t xml:space="preserve">MOVE ANALYTICS CC - ADMIN          </t>
  </si>
  <si>
    <t xml:space="preserve">AVI FIELDMARKETING                 </t>
  </si>
  <si>
    <t xml:space="preserve">AVI FIELD MARKERTING               </t>
  </si>
  <si>
    <t>V ....</t>
  </si>
  <si>
    <t>COBUS</t>
  </si>
  <si>
    <t>Aphiwe</t>
  </si>
  <si>
    <t xml:space="preserve">JEANINE CLARK                      </t>
  </si>
  <si>
    <t xml:space="preserve">FLAT 7 NELSON S VIEW               </t>
  </si>
  <si>
    <t>GEORGINA CLARK</t>
  </si>
  <si>
    <t xml:space="preserve">AVI FIELD MARKETING-FREE STATE     </t>
  </si>
  <si>
    <t xml:space="preserve">INDIGO BRANDS                      </t>
  </si>
  <si>
    <t>CINDY KEMP</t>
  </si>
  <si>
    <t>gcali</t>
  </si>
  <si>
    <t xml:space="preserve">PRIONTEX                           </t>
  </si>
  <si>
    <t xml:space="preserve">PHARMACARE                         </t>
  </si>
  <si>
    <t>UNINE COLTMAN</t>
  </si>
  <si>
    <t>COLLEEN PIETERSEN</t>
  </si>
  <si>
    <t xml:space="preserve">FRESEWIUS KABI MAW SA              </t>
  </si>
  <si>
    <t>YOLANDE VAN GREUNEN</t>
  </si>
  <si>
    <t xml:space="preserve">AVI FIELD MARKETING                </t>
  </si>
  <si>
    <t xml:space="preserve">AVI NBL                            </t>
  </si>
  <si>
    <t>ROMONA KISTEN</t>
  </si>
  <si>
    <t>ANNA KHA</t>
  </si>
  <si>
    <t xml:space="preserve">NATIONAL BIOPRODUCT INST           </t>
  </si>
  <si>
    <t>MPUMI</t>
  </si>
  <si>
    <t xml:space="preserve">SMITH POWER EQUIPMENT              </t>
  </si>
  <si>
    <t>CERES</t>
  </si>
  <si>
    <t xml:space="preserve">FABRICIUS MEGANIESE DIENSTE        </t>
  </si>
  <si>
    <t>LIZA</t>
  </si>
  <si>
    <t>VUSI</t>
  </si>
  <si>
    <t xml:space="preserve">B BRAUN MEDICAL PTY LTD            </t>
  </si>
  <si>
    <t>RIAAD CASSIM</t>
  </si>
  <si>
    <t>Wiseman</t>
  </si>
  <si>
    <t xml:space="preserve">EUROLAB ASU                        </t>
  </si>
  <si>
    <t xml:space="preserve">PRIONTEX PORT ELIZABETH            </t>
  </si>
  <si>
    <t>NICO STRYDOM</t>
  </si>
  <si>
    <t>MBUSO</t>
  </si>
  <si>
    <t>Jacques</t>
  </si>
  <si>
    <t xml:space="preserve">SMART SCREEN                       </t>
  </si>
  <si>
    <t>FRONT</t>
  </si>
  <si>
    <t>AYESHA ABDUL</t>
  </si>
  <si>
    <t>mapula</t>
  </si>
  <si>
    <t xml:space="preserve">AVI FIELD MATKETING INLAND WES     </t>
  </si>
  <si>
    <t>RUSSELL LUDICK</t>
  </si>
  <si>
    <t>..</t>
  </si>
  <si>
    <t>nxasana</t>
  </si>
  <si>
    <t xml:space="preserve">INDIGO COSMETICS                   </t>
  </si>
  <si>
    <t>MARY</t>
  </si>
  <si>
    <t>busisiwe</t>
  </si>
  <si>
    <t xml:space="preserve">PRIOTEX                            </t>
  </si>
  <si>
    <t>RENATA</t>
  </si>
  <si>
    <t>ZIPHO</t>
  </si>
  <si>
    <t>colleen</t>
  </si>
  <si>
    <t>FRONT DESK</t>
  </si>
  <si>
    <t>madolo</t>
  </si>
  <si>
    <t>SUE SHERWIN</t>
  </si>
  <si>
    <t>sherwin</t>
  </si>
  <si>
    <t xml:space="preserve">SWEE FARM                          </t>
  </si>
  <si>
    <t>HELENE HENSON</t>
  </si>
  <si>
    <t>BILL</t>
  </si>
  <si>
    <t>hezekiel</t>
  </si>
  <si>
    <t>JEN CLARK</t>
  </si>
  <si>
    <t>Thembani</t>
  </si>
  <si>
    <t xml:space="preserve">AVI                                </t>
  </si>
  <si>
    <t>STEVE</t>
  </si>
  <si>
    <t>steven</t>
  </si>
  <si>
    <t xml:space="preserve">INDIGO BRAND CAPE TOWN             </t>
  </si>
  <si>
    <t>SONAY</t>
  </si>
  <si>
    <t xml:space="preserve">MEDICLINIC PIETERMARITZBURG        </t>
  </si>
  <si>
    <t>TANYA STOFBERG</t>
  </si>
  <si>
    <t>Denzil</t>
  </si>
  <si>
    <t xml:space="preserve">SMITH POWER GEORGE                 </t>
  </si>
  <si>
    <t>RAINER</t>
  </si>
  <si>
    <t>MARK VILJOEN</t>
  </si>
  <si>
    <t>J VAN TONDER</t>
  </si>
  <si>
    <t xml:space="preserve">SMARTSCREEN                        </t>
  </si>
  <si>
    <t>SMARTSCREEN</t>
  </si>
  <si>
    <t>NIVASHNIE GOVENDER</t>
  </si>
  <si>
    <t xml:space="preserve">PRIONTEX PE                        </t>
  </si>
  <si>
    <t>LEON BREYTENBACH</t>
  </si>
  <si>
    <t>MARY GROOTBOOM</t>
  </si>
  <si>
    <t>leon</t>
  </si>
  <si>
    <t>THULANI THUPA</t>
  </si>
  <si>
    <t>TANYA HARTMAN</t>
  </si>
  <si>
    <t>WARREN</t>
  </si>
  <si>
    <t>ANDY KEMP</t>
  </si>
  <si>
    <t xml:space="preserve">STELLENBOSCH UNIVERSITY MEDICA     </t>
  </si>
  <si>
    <t>NAWAAL ABRAHAMS</t>
  </si>
  <si>
    <t>MARCELLE GORDON</t>
  </si>
  <si>
    <t>nawaal abrahams</t>
  </si>
  <si>
    <t xml:space="preserve">SUE ADAMS                          </t>
  </si>
  <si>
    <t xml:space="preserve">PACKET SKY                         </t>
  </si>
  <si>
    <t>VAL</t>
  </si>
  <si>
    <t>MARION   SUE</t>
  </si>
  <si>
    <t>derek</t>
  </si>
  <si>
    <t>POD received from cell 0768687790 M</t>
  </si>
  <si>
    <t>Small Box</t>
  </si>
  <si>
    <t xml:space="preserve">AVI FILED MARKET                   </t>
  </si>
  <si>
    <t>MARRY</t>
  </si>
  <si>
    <t>LEON</t>
  </si>
  <si>
    <t>mary</t>
  </si>
  <si>
    <t>MARLON MANUAL</t>
  </si>
  <si>
    <t>methembe</t>
  </si>
  <si>
    <t xml:space="preserve">OLD JOHANNESBURG AUCTION           </t>
  </si>
  <si>
    <t>BRYONY CLARK</t>
  </si>
  <si>
    <t>B CLARKE</t>
  </si>
  <si>
    <t xml:space="preserve">PRIONTEX JBG                       </t>
  </si>
  <si>
    <t>ELDIARCO TRADERS -PRIONTEX - THE LA</t>
  </si>
  <si>
    <t>Chante</t>
  </si>
  <si>
    <t>MSP090023</t>
  </si>
  <si>
    <t xml:space="preserve">Box </t>
  </si>
  <si>
    <t xml:space="preserve">AVI FM                             </t>
  </si>
  <si>
    <t>NONHLANHLA MCHUNU</t>
  </si>
  <si>
    <t>Nonhlanhla</t>
  </si>
  <si>
    <t xml:space="preserve">AVI FIELD MARKARTNG                </t>
  </si>
  <si>
    <t>ZIYAAD</t>
  </si>
  <si>
    <t>MZWANDILE</t>
  </si>
  <si>
    <t xml:space="preserve">SMITH POWER                        </t>
  </si>
  <si>
    <t xml:space="preserve">FABRICIUS                          </t>
  </si>
  <si>
    <t>PATRICK MICHAEL</t>
  </si>
  <si>
    <t>frannie</t>
  </si>
  <si>
    <t>POD received from cell 0837646764 M</t>
  </si>
  <si>
    <t xml:space="preserve">PRIONTEX JHB                       </t>
  </si>
  <si>
    <t>JOLENE SMITH</t>
  </si>
  <si>
    <t>MBUSO NKOMO</t>
  </si>
  <si>
    <t xml:space="preserve">SWEE FARM PORTION 14               </t>
  </si>
  <si>
    <t xml:space="preserve">MARION   SUE                       </t>
  </si>
  <si>
    <t>Leanne at 10 46</t>
  </si>
  <si>
    <t xml:space="preserve">BRYONY CLARK                       </t>
  </si>
  <si>
    <t>MOSESE</t>
  </si>
  <si>
    <t>khumbu</t>
  </si>
  <si>
    <t xml:space="preserve">PRIONTEX DURBAN                    </t>
  </si>
  <si>
    <t>KELLY MCNEIL</t>
  </si>
  <si>
    <t>mags</t>
  </si>
  <si>
    <t xml:space="preserve">BLUE CROSS VET HOSP                </t>
  </si>
  <si>
    <t>SR LAUREN</t>
  </si>
  <si>
    <t>Lauren</t>
  </si>
  <si>
    <t xml:space="preserve">JEN CLARK                          </t>
  </si>
  <si>
    <t>Jen clau</t>
  </si>
  <si>
    <t xml:space="preserve">FRESENIUS KABI MAN SA              </t>
  </si>
  <si>
    <t>YOLANDE V GRENNON</t>
  </si>
  <si>
    <t>Merlin</t>
  </si>
  <si>
    <t xml:space="preserve">EUROLAB ABU                        </t>
  </si>
  <si>
    <t>JO-MARI JACOBS</t>
  </si>
  <si>
    <t>mbuso</t>
  </si>
  <si>
    <t>SHERWIN</t>
  </si>
  <si>
    <t>phummy</t>
  </si>
  <si>
    <t xml:space="preserve">ELDARIO TRADERS T A PRIONTEX       </t>
  </si>
  <si>
    <t xml:space="preserve">INDIGER BRANDS                     </t>
  </si>
  <si>
    <t>Giva</t>
  </si>
  <si>
    <t xml:space="preserve">PRIONTEX CPT                       </t>
  </si>
  <si>
    <t>TONY H</t>
  </si>
  <si>
    <t>RAJ THAMBERON</t>
  </si>
  <si>
    <t>FORNT DESK</t>
  </si>
  <si>
    <t>AYESHA</t>
  </si>
  <si>
    <t>sara</t>
  </si>
  <si>
    <t xml:space="preserve">UPINGTON MEDICLINIC PHY            </t>
  </si>
  <si>
    <t>JACO KOOTJIES</t>
  </si>
  <si>
    <t xml:space="preserve">SPAR                               </t>
  </si>
  <si>
    <t>POD received from cell 0787386154 M</t>
  </si>
  <si>
    <t xml:space="preserve">MEDICLINIC VICTORIA                </t>
  </si>
  <si>
    <t>GAVELIN MOOTHOOKISTAN</t>
  </si>
  <si>
    <t>SANDY NAICKER</t>
  </si>
  <si>
    <t>quinton</t>
  </si>
  <si>
    <t>JANE</t>
  </si>
  <si>
    <t>J  Smith</t>
  </si>
  <si>
    <t xml:space="preserve">AVIN                               </t>
  </si>
  <si>
    <t>JEAN MARI HAYES</t>
  </si>
  <si>
    <t>genevive</t>
  </si>
  <si>
    <t>MARLON MONUEL</t>
  </si>
  <si>
    <t xml:space="preserve">AVI FIELD                          </t>
  </si>
  <si>
    <t>MARIER VAN ALLEMAN</t>
  </si>
  <si>
    <t>STEVEN TAYLAR</t>
  </si>
  <si>
    <t>AVI FIELD MARKETING</t>
  </si>
  <si>
    <t>CSH / FUE / DOC</t>
  </si>
  <si>
    <t>M GUNGQANA</t>
  </si>
  <si>
    <t xml:space="preserve">B BRAUN                            </t>
  </si>
  <si>
    <t xml:space="preserve">BAYVIEW PRIVATE HOSPITAL           </t>
  </si>
  <si>
    <t>JOHAN GREEFF</t>
  </si>
  <si>
    <t>ROGER</t>
  </si>
  <si>
    <t xml:space="preserve">Radi                          </t>
  </si>
  <si>
    <t xml:space="preserve">PROINTEX CPT                       </t>
  </si>
  <si>
    <t>SHAMIL</t>
  </si>
  <si>
    <t>TLOU</t>
  </si>
  <si>
    <t>Colleen</t>
  </si>
  <si>
    <t xml:space="preserve">FABRICIUS MEGANIESE                </t>
  </si>
  <si>
    <t>POD received from cell 0834895581 M</t>
  </si>
  <si>
    <t xml:space="preserve">FABRIECKS MEGANIESE DIENSTE        </t>
  </si>
  <si>
    <t>rag</t>
  </si>
  <si>
    <t>AR SUPPORT</t>
  </si>
  <si>
    <t>gxiva</t>
  </si>
  <si>
    <t>ROMANA KIRSTEN</t>
  </si>
  <si>
    <t>AMLA KHAN</t>
  </si>
  <si>
    <t>NKHODENI</t>
  </si>
  <si>
    <t xml:space="preserve">nkhodeni                      </t>
  </si>
  <si>
    <t xml:space="preserve">AVI DISTRI                         </t>
  </si>
  <si>
    <t>LOUISA VIERIA</t>
  </si>
  <si>
    <t>CANDICE</t>
  </si>
  <si>
    <t>TSIDI</t>
  </si>
  <si>
    <t xml:space="preserve">EAST LONDON EYE HOSPUTAL           </t>
  </si>
  <si>
    <t>JO-ANNE HULLEY</t>
  </si>
  <si>
    <t>Msingatshi</t>
  </si>
  <si>
    <t xml:space="preserve">avi                                </t>
  </si>
  <si>
    <t xml:space="preserve">smart screen                       </t>
  </si>
  <si>
    <t xml:space="preserve">indig cindy kemp                   </t>
  </si>
  <si>
    <t>gunxanwa</t>
  </si>
  <si>
    <t>CHRIS STEVEN GILBERT</t>
  </si>
  <si>
    <t>fannie</t>
  </si>
  <si>
    <t xml:space="preserve">PRIONTEO JHB                       </t>
  </si>
  <si>
    <t>ED GAR</t>
  </si>
  <si>
    <t>SHERYN</t>
  </si>
  <si>
    <t>BETHUEL</t>
  </si>
  <si>
    <t xml:space="preserve">PRIONTEX MICRONCLEAN               </t>
  </si>
  <si>
    <t>CARLA NICKY</t>
  </si>
  <si>
    <t>dennis</t>
  </si>
  <si>
    <t xml:space="preserve">avi field marketing                </t>
  </si>
  <si>
    <t>chantel myburg</t>
  </si>
  <si>
    <t>t hartman</t>
  </si>
  <si>
    <t>betrix</t>
  </si>
  <si>
    <t xml:space="preserve">PRIONTEX DBN                       </t>
  </si>
  <si>
    <t>SUE</t>
  </si>
  <si>
    <t>RENATA VAN NIEKERK</t>
  </si>
  <si>
    <t xml:space="preserve">INDIGO                             </t>
  </si>
  <si>
    <t>PHILLEMON MABENA</t>
  </si>
  <si>
    <t>A SONGWANGWA</t>
  </si>
  <si>
    <t>jefta</t>
  </si>
  <si>
    <t>POD received from cell 0673299288 M</t>
  </si>
  <si>
    <t xml:space="preserve">PRIONTEX SA                        </t>
  </si>
  <si>
    <t>SHAMILL</t>
  </si>
  <si>
    <t>SHERWIN   SUE</t>
  </si>
  <si>
    <t xml:space="preserve">SMITH POWER EQUIP.                 </t>
  </si>
  <si>
    <t>NICKY</t>
  </si>
  <si>
    <t>NTOBELO</t>
  </si>
  <si>
    <t>mono</t>
  </si>
  <si>
    <t>SHERWIN SUE</t>
  </si>
  <si>
    <t>phumy</t>
  </si>
  <si>
    <t xml:space="preserve">ELDIARIO TRADERS T A PRIONTEX      </t>
  </si>
  <si>
    <t>TARIN</t>
  </si>
  <si>
    <t xml:space="preserve">AVI MARKETING                      </t>
  </si>
  <si>
    <t>CHANTEL MYBURGH</t>
  </si>
  <si>
    <t>TANYA</t>
  </si>
  <si>
    <t>ronald</t>
  </si>
  <si>
    <t xml:space="preserve">AVI FINANCE                        </t>
  </si>
  <si>
    <t xml:space="preserve">I J LIMITED                        </t>
  </si>
  <si>
    <t>TEGAN CHRISTIE</t>
  </si>
  <si>
    <t>RULIEN KASSEL</t>
  </si>
  <si>
    <t>SIYA</t>
  </si>
  <si>
    <t>SARIE</t>
  </si>
  <si>
    <t xml:space="preserve">INDINGO BRANDS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</si>
</sst>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8"/>
  <sheetViews>
    <sheetView tabSelected="1" workbookViewId="0">
      <selection activeCell="A2" sqref="A2:DY4767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5.855468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7" bestFit="1" customWidth="1"/>
    <col min="66" max="66" width="8" bestFit="1" customWidth="1"/>
    <col min="68" max="68" width="27.28515625" bestFit="1" customWidth="1"/>
    <col min="69" max="69" width="30.5703125" bestFit="1" customWidth="1"/>
    <col min="70" max="70" width="28.8554687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222</v>
      </c>
      <c r="B2" t="s">
        <v>223</v>
      </c>
      <c r="C2" t="s">
        <v>72</v>
      </c>
      <c r="E2" t="str">
        <f>"009940041082"</f>
        <v>009940041082</v>
      </c>
      <c r="F2" s="2">
        <v>44340</v>
      </c>
      <c r="G2">
        <v>202111</v>
      </c>
      <c r="H2" t="s">
        <v>212</v>
      </c>
      <c r="I2" t="s">
        <v>213</v>
      </c>
      <c r="J2" t="s">
        <v>224</v>
      </c>
      <c r="K2" t="s">
        <v>75</v>
      </c>
      <c r="L2" t="s">
        <v>73</v>
      </c>
      <c r="M2" t="s">
        <v>74</v>
      </c>
      <c r="N2" t="s">
        <v>225</v>
      </c>
      <c r="O2" t="s">
        <v>130</v>
      </c>
      <c r="P2" t="str">
        <f>".....                         "</f>
        <v xml:space="preserve">.....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17.66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101.16</v>
      </c>
      <c r="BM2">
        <v>15.17</v>
      </c>
      <c r="BN2">
        <v>116.33</v>
      </c>
      <c r="BO2">
        <v>116.33</v>
      </c>
      <c r="BQ2" t="s">
        <v>226</v>
      </c>
      <c r="BR2" t="s">
        <v>227</v>
      </c>
      <c r="BS2" s="2">
        <v>44341</v>
      </c>
      <c r="BT2" s="3">
        <v>0.3263888888888889</v>
      </c>
      <c r="BU2" t="s">
        <v>228</v>
      </c>
      <c r="BV2" t="s">
        <v>77</v>
      </c>
      <c r="BY2">
        <v>1200</v>
      </c>
      <c r="CA2" t="s">
        <v>105</v>
      </c>
      <c r="CC2" t="s">
        <v>74</v>
      </c>
      <c r="CD2">
        <v>1601</v>
      </c>
      <c r="CE2" t="s">
        <v>90</v>
      </c>
      <c r="CF2" s="2">
        <v>44342</v>
      </c>
      <c r="CI2">
        <v>1</v>
      </c>
      <c r="CJ2">
        <v>1</v>
      </c>
      <c r="CK2" t="s">
        <v>152</v>
      </c>
      <c r="CL2" t="s">
        <v>78</v>
      </c>
    </row>
    <row r="3" spans="1:92" x14ac:dyDescent="0.25">
      <c r="A3" t="s">
        <v>222</v>
      </c>
      <c r="B3" t="s">
        <v>223</v>
      </c>
      <c r="C3" t="s">
        <v>72</v>
      </c>
      <c r="E3" t="str">
        <f>"009940219300"</f>
        <v>009940219300</v>
      </c>
      <c r="F3" s="2">
        <v>44342</v>
      </c>
      <c r="G3">
        <v>202111</v>
      </c>
      <c r="H3" t="s">
        <v>85</v>
      </c>
      <c r="I3" t="s">
        <v>86</v>
      </c>
      <c r="J3" t="s">
        <v>229</v>
      </c>
      <c r="K3" t="s">
        <v>75</v>
      </c>
      <c r="L3" t="s">
        <v>153</v>
      </c>
      <c r="M3" t="s">
        <v>102</v>
      </c>
      <c r="N3" t="s">
        <v>230</v>
      </c>
      <c r="O3" t="s">
        <v>130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21.76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5.8</v>
      </c>
      <c r="BJ3">
        <v>17.5</v>
      </c>
      <c r="BK3">
        <v>18</v>
      </c>
      <c r="BL3">
        <v>123.48</v>
      </c>
      <c r="BM3">
        <v>18.52</v>
      </c>
      <c r="BN3">
        <v>142</v>
      </c>
      <c r="BO3">
        <v>142</v>
      </c>
      <c r="BQ3" t="s">
        <v>231</v>
      </c>
      <c r="BR3" t="s">
        <v>194</v>
      </c>
      <c r="BS3" t="s">
        <v>83</v>
      </c>
      <c r="BY3">
        <v>87706.93</v>
      </c>
      <c r="CC3" t="s">
        <v>102</v>
      </c>
      <c r="CD3">
        <v>8001</v>
      </c>
      <c r="CE3" t="s">
        <v>90</v>
      </c>
      <c r="CI3">
        <v>2</v>
      </c>
      <c r="CJ3" t="s">
        <v>83</v>
      </c>
      <c r="CK3" t="s">
        <v>134</v>
      </c>
      <c r="CL3" t="s">
        <v>78</v>
      </c>
    </row>
    <row r="4" spans="1:92" x14ac:dyDescent="0.25">
      <c r="A4" t="s">
        <v>222</v>
      </c>
      <c r="B4" t="s">
        <v>223</v>
      </c>
      <c r="C4" t="s">
        <v>72</v>
      </c>
      <c r="E4" t="str">
        <f>"009939921464"</f>
        <v>009939921464</v>
      </c>
      <c r="F4" s="2">
        <v>44340</v>
      </c>
      <c r="G4">
        <v>202111</v>
      </c>
      <c r="H4" t="s">
        <v>199</v>
      </c>
      <c r="I4" t="s">
        <v>200</v>
      </c>
      <c r="J4" t="s">
        <v>232</v>
      </c>
      <c r="K4" t="s">
        <v>75</v>
      </c>
      <c r="L4" t="s">
        <v>153</v>
      </c>
      <c r="M4" t="s">
        <v>102</v>
      </c>
      <c r="N4" t="s">
        <v>233</v>
      </c>
      <c r="O4" t="s">
        <v>130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19.13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109.17</v>
      </c>
      <c r="BM4">
        <v>16.38</v>
      </c>
      <c r="BN4">
        <v>125.55</v>
      </c>
      <c r="BO4">
        <v>125.55</v>
      </c>
      <c r="BQ4" t="s">
        <v>234</v>
      </c>
      <c r="BS4" s="2">
        <v>44342</v>
      </c>
      <c r="BT4" s="3">
        <v>0.43333333333333335</v>
      </c>
      <c r="BU4" t="s">
        <v>235</v>
      </c>
      <c r="BV4" t="s">
        <v>77</v>
      </c>
      <c r="BY4">
        <v>1200</v>
      </c>
      <c r="CA4" t="s">
        <v>122</v>
      </c>
      <c r="CC4" t="s">
        <v>102</v>
      </c>
      <c r="CD4">
        <v>8000</v>
      </c>
      <c r="CE4" t="s">
        <v>90</v>
      </c>
      <c r="CF4" s="2">
        <v>44343</v>
      </c>
      <c r="CI4">
        <v>2</v>
      </c>
      <c r="CJ4">
        <v>2</v>
      </c>
      <c r="CK4" t="s">
        <v>190</v>
      </c>
      <c r="CL4" t="s">
        <v>78</v>
      </c>
    </row>
    <row r="5" spans="1:92" x14ac:dyDescent="0.25">
      <c r="A5" t="s">
        <v>222</v>
      </c>
      <c r="B5" t="s">
        <v>223</v>
      </c>
      <c r="C5" t="s">
        <v>72</v>
      </c>
      <c r="E5" t="str">
        <f>"009940641815"</f>
        <v>009940641815</v>
      </c>
      <c r="F5" s="2">
        <v>44341</v>
      </c>
      <c r="G5">
        <v>202111</v>
      </c>
      <c r="H5" t="s">
        <v>101</v>
      </c>
      <c r="I5" t="s">
        <v>102</v>
      </c>
      <c r="J5" t="s">
        <v>236</v>
      </c>
      <c r="K5" t="s">
        <v>75</v>
      </c>
      <c r="L5" t="s">
        <v>81</v>
      </c>
      <c r="M5" t="s">
        <v>82</v>
      </c>
      <c r="N5" t="s">
        <v>237</v>
      </c>
      <c r="O5" t="s">
        <v>130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19.13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1.4</v>
      </c>
      <c r="BJ5">
        <v>2</v>
      </c>
      <c r="BK5">
        <v>2</v>
      </c>
      <c r="BL5">
        <v>109.17</v>
      </c>
      <c r="BM5">
        <v>16.38</v>
      </c>
      <c r="BN5">
        <v>125.55</v>
      </c>
      <c r="BO5">
        <v>125.55</v>
      </c>
      <c r="BQ5" t="s">
        <v>238</v>
      </c>
      <c r="BR5" t="s">
        <v>239</v>
      </c>
      <c r="BS5" s="2">
        <v>44343</v>
      </c>
      <c r="BT5" s="3">
        <v>0.33194444444444443</v>
      </c>
      <c r="BU5" t="s">
        <v>137</v>
      </c>
      <c r="BV5" t="s">
        <v>77</v>
      </c>
      <c r="BY5">
        <v>9812.8799999999992</v>
      </c>
      <c r="CA5" t="s">
        <v>115</v>
      </c>
      <c r="CC5" t="s">
        <v>82</v>
      </c>
      <c r="CD5">
        <v>6014</v>
      </c>
      <c r="CE5" t="s">
        <v>90</v>
      </c>
      <c r="CF5" s="2">
        <v>44343</v>
      </c>
      <c r="CI5">
        <v>2</v>
      </c>
      <c r="CJ5">
        <v>2</v>
      </c>
      <c r="CK5" t="s">
        <v>190</v>
      </c>
      <c r="CL5" t="s">
        <v>78</v>
      </c>
    </row>
    <row r="6" spans="1:92" x14ac:dyDescent="0.25">
      <c r="A6" t="s">
        <v>222</v>
      </c>
      <c r="B6" t="s">
        <v>223</v>
      </c>
      <c r="C6" t="s">
        <v>72</v>
      </c>
      <c r="E6" t="str">
        <f>"009940641814"</f>
        <v>009940641814</v>
      </c>
      <c r="F6" s="2">
        <v>44341</v>
      </c>
      <c r="G6">
        <v>202111</v>
      </c>
      <c r="H6" t="s">
        <v>101</v>
      </c>
      <c r="I6" t="s">
        <v>102</v>
      </c>
      <c r="J6" t="s">
        <v>236</v>
      </c>
      <c r="K6" t="s">
        <v>75</v>
      </c>
      <c r="L6" t="s">
        <v>81</v>
      </c>
      <c r="M6" t="s">
        <v>82</v>
      </c>
      <c r="N6" t="s">
        <v>240</v>
      </c>
      <c r="O6" t="s">
        <v>130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19.13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1.1000000000000001</v>
      </c>
      <c r="BJ6">
        <v>1.7</v>
      </c>
      <c r="BK6">
        <v>2</v>
      </c>
      <c r="BL6">
        <v>109.17</v>
      </c>
      <c r="BM6">
        <v>16.38</v>
      </c>
      <c r="BN6">
        <v>125.55</v>
      </c>
      <c r="BO6">
        <v>125.55</v>
      </c>
      <c r="BQ6" t="s">
        <v>241</v>
      </c>
      <c r="BR6" t="s">
        <v>239</v>
      </c>
      <c r="BS6" s="2">
        <v>44343</v>
      </c>
      <c r="BT6" s="3">
        <v>0.33611111111111108</v>
      </c>
      <c r="BU6" t="s">
        <v>180</v>
      </c>
      <c r="BV6" t="s">
        <v>77</v>
      </c>
      <c r="BY6">
        <v>8633.2999999999993</v>
      </c>
      <c r="CA6" t="s">
        <v>115</v>
      </c>
      <c r="CC6" t="s">
        <v>82</v>
      </c>
      <c r="CD6">
        <v>6000</v>
      </c>
      <c r="CE6" t="s">
        <v>90</v>
      </c>
      <c r="CF6" s="2">
        <v>44343</v>
      </c>
      <c r="CI6">
        <v>2</v>
      </c>
      <c r="CJ6">
        <v>2</v>
      </c>
      <c r="CK6" t="s">
        <v>190</v>
      </c>
      <c r="CL6" t="s">
        <v>78</v>
      </c>
    </row>
    <row r="7" spans="1:92" x14ac:dyDescent="0.25">
      <c r="A7" t="s">
        <v>222</v>
      </c>
      <c r="B7" t="s">
        <v>223</v>
      </c>
      <c r="C7" t="s">
        <v>72</v>
      </c>
      <c r="E7" t="str">
        <f>"009940648449"</f>
        <v>009940648449</v>
      </c>
      <c r="F7" s="2">
        <v>44343</v>
      </c>
      <c r="G7">
        <v>202111</v>
      </c>
      <c r="H7" t="s">
        <v>101</v>
      </c>
      <c r="I7" t="s">
        <v>102</v>
      </c>
      <c r="J7" t="s">
        <v>242</v>
      </c>
      <c r="K7" t="s">
        <v>75</v>
      </c>
      <c r="L7" t="s">
        <v>85</v>
      </c>
      <c r="M7" t="s">
        <v>86</v>
      </c>
      <c r="N7" t="s">
        <v>243</v>
      </c>
      <c r="O7" t="s">
        <v>76</v>
      </c>
      <c r="P7" t="str">
        <f>"GL460040                      "</f>
        <v xml:space="preserve">GL460040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61.2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8.3000000000000007</v>
      </c>
      <c r="BJ7">
        <v>13</v>
      </c>
      <c r="BK7">
        <v>13</v>
      </c>
      <c r="BL7">
        <v>333.19</v>
      </c>
      <c r="BM7">
        <v>49.98</v>
      </c>
      <c r="BN7">
        <v>383.17</v>
      </c>
      <c r="BO7">
        <v>383.17</v>
      </c>
      <c r="BQ7" t="s">
        <v>244</v>
      </c>
      <c r="BR7" t="s">
        <v>245</v>
      </c>
      <c r="BS7" s="2">
        <v>44344</v>
      </c>
      <c r="BT7" s="3">
        <v>0.32500000000000001</v>
      </c>
      <c r="BU7" t="s">
        <v>181</v>
      </c>
      <c r="BV7" t="s">
        <v>77</v>
      </c>
      <c r="BY7">
        <v>64761.3</v>
      </c>
      <c r="BZ7" t="s">
        <v>84</v>
      </c>
      <c r="CA7" t="s">
        <v>110</v>
      </c>
      <c r="CC7" t="s">
        <v>86</v>
      </c>
      <c r="CD7">
        <v>2021</v>
      </c>
      <c r="CE7" t="s">
        <v>90</v>
      </c>
      <c r="CI7">
        <v>1</v>
      </c>
      <c r="CJ7">
        <v>1</v>
      </c>
      <c r="CK7">
        <v>21</v>
      </c>
      <c r="CL7" t="s">
        <v>78</v>
      </c>
    </row>
    <row r="8" spans="1:92" x14ac:dyDescent="0.25">
      <c r="A8" t="s">
        <v>222</v>
      </c>
      <c r="B8" t="s">
        <v>223</v>
      </c>
      <c r="C8" t="s">
        <v>72</v>
      </c>
      <c r="E8" t="str">
        <f>"009940641812"</f>
        <v>009940641812</v>
      </c>
      <c r="F8" s="2">
        <v>44343</v>
      </c>
      <c r="G8">
        <v>202111</v>
      </c>
      <c r="H8" t="s">
        <v>101</v>
      </c>
      <c r="I8" t="s">
        <v>102</v>
      </c>
      <c r="J8" t="s">
        <v>236</v>
      </c>
      <c r="K8" t="s">
        <v>75</v>
      </c>
      <c r="L8" t="s">
        <v>118</v>
      </c>
      <c r="M8" t="s">
        <v>119</v>
      </c>
      <c r="N8" t="s">
        <v>246</v>
      </c>
      <c r="O8" t="s">
        <v>130</v>
      </c>
      <c r="P8" t="str">
        <f>"MT CPT                        "</f>
        <v xml:space="preserve">MT CPT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26.72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21</v>
      </c>
      <c r="BJ8">
        <v>23.7</v>
      </c>
      <c r="BK8">
        <v>24</v>
      </c>
      <c r="BL8">
        <v>150.46</v>
      </c>
      <c r="BM8">
        <v>22.57</v>
      </c>
      <c r="BN8">
        <v>173.03</v>
      </c>
      <c r="BO8">
        <v>173.03</v>
      </c>
      <c r="BQ8" t="s">
        <v>247</v>
      </c>
      <c r="BR8" t="s">
        <v>239</v>
      </c>
      <c r="BS8" t="s">
        <v>83</v>
      </c>
      <c r="BY8">
        <v>118263.08</v>
      </c>
      <c r="CC8" t="s">
        <v>119</v>
      </c>
      <c r="CD8">
        <v>3610</v>
      </c>
      <c r="CE8" t="s">
        <v>90</v>
      </c>
      <c r="CI8">
        <v>2</v>
      </c>
      <c r="CJ8" t="s">
        <v>83</v>
      </c>
      <c r="CK8" t="s">
        <v>134</v>
      </c>
      <c r="CL8" t="s">
        <v>78</v>
      </c>
    </row>
    <row r="9" spans="1:92" x14ac:dyDescent="0.25">
      <c r="A9" t="s">
        <v>222</v>
      </c>
      <c r="B9" t="s">
        <v>223</v>
      </c>
      <c r="C9" t="s">
        <v>72</v>
      </c>
      <c r="E9" t="str">
        <f>"009941483512"</f>
        <v>009941483512</v>
      </c>
      <c r="F9" s="2">
        <v>44343</v>
      </c>
      <c r="G9">
        <v>202111</v>
      </c>
      <c r="H9" t="s">
        <v>73</v>
      </c>
      <c r="I9" t="s">
        <v>74</v>
      </c>
      <c r="J9" t="s">
        <v>248</v>
      </c>
      <c r="K9" t="s">
        <v>75</v>
      </c>
      <c r="L9" t="s">
        <v>249</v>
      </c>
      <c r="M9" t="s">
        <v>249</v>
      </c>
      <c r="N9" t="s">
        <v>250</v>
      </c>
      <c r="O9" t="s">
        <v>130</v>
      </c>
      <c r="P9" t="str">
        <f>"463045 463121 463103          "</f>
        <v xml:space="preserve">463045 463121 463103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58.18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41</v>
      </c>
      <c r="BJ9">
        <v>27.5</v>
      </c>
      <c r="BK9">
        <v>41</v>
      </c>
      <c r="BL9">
        <v>321.76</v>
      </c>
      <c r="BM9">
        <v>48.26</v>
      </c>
      <c r="BN9">
        <v>370.02</v>
      </c>
      <c r="BO9">
        <v>370.02</v>
      </c>
      <c r="BQ9" t="s">
        <v>251</v>
      </c>
      <c r="BR9" t="s">
        <v>252</v>
      </c>
      <c r="BS9" t="s">
        <v>83</v>
      </c>
      <c r="BY9">
        <v>137475</v>
      </c>
      <c r="CC9" t="s">
        <v>249</v>
      </c>
      <c r="CD9">
        <v>6836</v>
      </c>
      <c r="CE9" t="s">
        <v>90</v>
      </c>
      <c r="CI9">
        <v>3</v>
      </c>
      <c r="CJ9" t="s">
        <v>83</v>
      </c>
      <c r="CK9" t="s">
        <v>140</v>
      </c>
      <c r="CL9" t="s">
        <v>78</v>
      </c>
    </row>
    <row r="10" spans="1:92" x14ac:dyDescent="0.25">
      <c r="A10" t="s">
        <v>222</v>
      </c>
      <c r="B10" t="s">
        <v>223</v>
      </c>
      <c r="C10" t="s">
        <v>72</v>
      </c>
      <c r="E10" t="str">
        <f>"009940641818"</f>
        <v>009940641818</v>
      </c>
      <c r="F10" s="2">
        <v>44336</v>
      </c>
      <c r="G10">
        <v>202111</v>
      </c>
      <c r="H10" t="s">
        <v>101</v>
      </c>
      <c r="I10" t="s">
        <v>102</v>
      </c>
      <c r="J10" t="s">
        <v>236</v>
      </c>
      <c r="K10" t="s">
        <v>75</v>
      </c>
      <c r="L10" t="s">
        <v>73</v>
      </c>
      <c r="M10" t="s">
        <v>74</v>
      </c>
      <c r="N10" t="s">
        <v>253</v>
      </c>
      <c r="O10" t="s">
        <v>130</v>
      </c>
      <c r="P10" t="str">
        <f>"MT CPT                        "</f>
        <v xml:space="preserve">MT CPT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48.19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42.3</v>
      </c>
      <c r="BJ10">
        <v>49.1</v>
      </c>
      <c r="BK10">
        <v>50</v>
      </c>
      <c r="BL10">
        <v>267.35000000000002</v>
      </c>
      <c r="BM10">
        <v>40.1</v>
      </c>
      <c r="BN10">
        <v>307.45</v>
      </c>
      <c r="BO10">
        <v>307.45</v>
      </c>
      <c r="BQ10" t="s">
        <v>254</v>
      </c>
      <c r="BR10" t="s">
        <v>239</v>
      </c>
      <c r="BS10" s="2">
        <v>44340</v>
      </c>
      <c r="BT10" s="3">
        <v>0.4375</v>
      </c>
      <c r="BU10" t="s">
        <v>255</v>
      </c>
      <c r="BV10" t="s">
        <v>77</v>
      </c>
      <c r="BY10">
        <v>245714.1</v>
      </c>
      <c r="CA10" t="s">
        <v>116</v>
      </c>
      <c r="CC10" t="s">
        <v>74</v>
      </c>
      <c r="CD10">
        <v>1645</v>
      </c>
      <c r="CE10" t="s">
        <v>90</v>
      </c>
      <c r="CF10" s="2">
        <v>44341</v>
      </c>
      <c r="CI10">
        <v>2</v>
      </c>
      <c r="CJ10">
        <v>2</v>
      </c>
      <c r="CK10" t="s">
        <v>134</v>
      </c>
      <c r="CL10" t="s">
        <v>78</v>
      </c>
    </row>
    <row r="11" spans="1:92" x14ac:dyDescent="0.25">
      <c r="A11" t="s">
        <v>222</v>
      </c>
      <c r="B11" t="s">
        <v>223</v>
      </c>
      <c r="C11" t="s">
        <v>72</v>
      </c>
      <c r="E11" t="str">
        <f>"009940857274"</f>
        <v>009940857274</v>
      </c>
      <c r="F11" s="2">
        <v>44340</v>
      </c>
      <c r="G11">
        <v>202111</v>
      </c>
      <c r="H11" t="s">
        <v>91</v>
      </c>
      <c r="I11" t="s">
        <v>92</v>
      </c>
      <c r="J11" t="s">
        <v>256</v>
      </c>
      <c r="K11" t="s">
        <v>75</v>
      </c>
      <c r="L11" t="s">
        <v>81</v>
      </c>
      <c r="M11" t="s">
        <v>82</v>
      </c>
      <c r="N11" t="s">
        <v>257</v>
      </c>
      <c r="O11" t="s">
        <v>130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36.630000000000003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23.9</v>
      </c>
      <c r="BJ11">
        <v>35.799999999999997</v>
      </c>
      <c r="BK11">
        <v>36</v>
      </c>
      <c r="BL11">
        <v>204.41</v>
      </c>
      <c r="BM11">
        <v>30.66</v>
      </c>
      <c r="BN11">
        <v>235.07</v>
      </c>
      <c r="BO11">
        <v>235.07</v>
      </c>
      <c r="BQ11" t="s">
        <v>258</v>
      </c>
      <c r="BR11" t="s">
        <v>259</v>
      </c>
      <c r="BS11" s="2">
        <v>44342</v>
      </c>
      <c r="BT11" s="3">
        <v>0.35972222222222222</v>
      </c>
      <c r="BU11" t="s">
        <v>260</v>
      </c>
      <c r="BV11" t="s">
        <v>77</v>
      </c>
      <c r="BY11">
        <v>179213.64</v>
      </c>
      <c r="CA11" t="s">
        <v>115</v>
      </c>
      <c r="CC11" t="s">
        <v>82</v>
      </c>
      <c r="CD11">
        <v>6001</v>
      </c>
      <c r="CE11" t="s">
        <v>90</v>
      </c>
      <c r="CF11" s="2">
        <v>44342</v>
      </c>
      <c r="CI11">
        <v>2</v>
      </c>
      <c r="CJ11">
        <v>2</v>
      </c>
      <c r="CK11" t="s">
        <v>134</v>
      </c>
      <c r="CL11" t="s">
        <v>78</v>
      </c>
    </row>
    <row r="12" spans="1:92" x14ac:dyDescent="0.25">
      <c r="A12" t="s">
        <v>222</v>
      </c>
      <c r="B12" t="s">
        <v>223</v>
      </c>
      <c r="C12" t="s">
        <v>72</v>
      </c>
      <c r="E12" t="str">
        <f>"009940718559"</f>
        <v>009940718559</v>
      </c>
      <c r="F12" s="2">
        <v>44343</v>
      </c>
      <c r="G12">
        <v>202111</v>
      </c>
      <c r="H12" t="s">
        <v>96</v>
      </c>
      <c r="I12" t="s">
        <v>97</v>
      </c>
      <c r="J12" t="s">
        <v>242</v>
      </c>
      <c r="K12" t="s">
        <v>75</v>
      </c>
      <c r="L12" t="s">
        <v>159</v>
      </c>
      <c r="M12" t="s">
        <v>160</v>
      </c>
      <c r="N12" t="s">
        <v>261</v>
      </c>
      <c r="O12" t="s">
        <v>76</v>
      </c>
      <c r="P12" t="str">
        <f>"11942270FM                    "</f>
        <v xml:space="preserve">11942270FM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9.42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51.29</v>
      </c>
      <c r="BM12">
        <v>7.69</v>
      </c>
      <c r="BN12">
        <v>58.98</v>
      </c>
      <c r="BO12">
        <v>58.98</v>
      </c>
      <c r="BQ12" t="s">
        <v>262</v>
      </c>
      <c r="BR12" t="s">
        <v>263</v>
      </c>
      <c r="BS12" s="2">
        <v>44344</v>
      </c>
      <c r="BT12" s="3">
        <v>0.39583333333333331</v>
      </c>
      <c r="BU12" t="s">
        <v>264</v>
      </c>
      <c r="BV12" t="s">
        <v>77</v>
      </c>
      <c r="BY12">
        <v>1200</v>
      </c>
      <c r="BZ12" t="s">
        <v>84</v>
      </c>
      <c r="CA12" t="s">
        <v>179</v>
      </c>
      <c r="CC12" t="s">
        <v>160</v>
      </c>
      <c r="CD12">
        <v>46</v>
      </c>
      <c r="CE12" t="s">
        <v>90</v>
      </c>
      <c r="CI12">
        <v>1</v>
      </c>
      <c r="CJ12">
        <v>1</v>
      </c>
      <c r="CK12">
        <v>21</v>
      </c>
      <c r="CL12" t="s">
        <v>78</v>
      </c>
    </row>
    <row r="13" spans="1:92" x14ac:dyDescent="0.25">
      <c r="A13" t="s">
        <v>222</v>
      </c>
      <c r="B13" t="s">
        <v>223</v>
      </c>
      <c r="C13" t="s">
        <v>72</v>
      </c>
      <c r="E13" t="str">
        <f>"009939486917"</f>
        <v>009939486917</v>
      </c>
      <c r="F13" s="2">
        <v>44343</v>
      </c>
      <c r="G13">
        <v>202111</v>
      </c>
      <c r="H13" t="s">
        <v>73</v>
      </c>
      <c r="I13" t="s">
        <v>74</v>
      </c>
      <c r="J13" t="s">
        <v>265</v>
      </c>
      <c r="K13" t="s">
        <v>75</v>
      </c>
      <c r="L13" t="s">
        <v>101</v>
      </c>
      <c r="M13" t="s">
        <v>102</v>
      </c>
      <c r="N13" t="s">
        <v>233</v>
      </c>
      <c r="O13" t="s">
        <v>76</v>
      </c>
      <c r="P13" t="str">
        <f>"...                           "</f>
        <v xml:space="preserve">...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9.42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51.29</v>
      </c>
      <c r="BM13">
        <v>7.69</v>
      </c>
      <c r="BN13">
        <v>58.98</v>
      </c>
      <c r="BO13">
        <v>58.98</v>
      </c>
      <c r="BQ13" t="s">
        <v>266</v>
      </c>
      <c r="BR13" t="s">
        <v>267</v>
      </c>
      <c r="BS13" s="2">
        <v>44344</v>
      </c>
      <c r="BT13" s="3">
        <v>0.43472222222222223</v>
      </c>
      <c r="BU13" t="s">
        <v>268</v>
      </c>
      <c r="BV13" t="s">
        <v>77</v>
      </c>
      <c r="BY13">
        <v>1200</v>
      </c>
      <c r="BZ13" t="s">
        <v>84</v>
      </c>
      <c r="CA13" t="s">
        <v>122</v>
      </c>
      <c r="CC13" t="s">
        <v>102</v>
      </c>
      <c r="CD13">
        <v>8000</v>
      </c>
      <c r="CE13" t="s">
        <v>90</v>
      </c>
      <c r="CI13">
        <v>1</v>
      </c>
      <c r="CJ13">
        <v>1</v>
      </c>
      <c r="CK13">
        <v>21</v>
      </c>
      <c r="CL13" t="s">
        <v>78</v>
      </c>
    </row>
    <row r="14" spans="1:92" x14ac:dyDescent="0.25">
      <c r="A14" t="s">
        <v>222</v>
      </c>
      <c r="B14" t="s">
        <v>223</v>
      </c>
      <c r="C14" t="s">
        <v>72</v>
      </c>
      <c r="E14" t="str">
        <f>"009940912249"</f>
        <v>009940912249</v>
      </c>
      <c r="F14" s="2">
        <v>44343</v>
      </c>
      <c r="G14">
        <v>202111</v>
      </c>
      <c r="H14" t="s">
        <v>81</v>
      </c>
      <c r="I14" t="s">
        <v>82</v>
      </c>
      <c r="J14" t="s">
        <v>242</v>
      </c>
      <c r="K14" t="s">
        <v>75</v>
      </c>
      <c r="L14" t="s">
        <v>101</v>
      </c>
      <c r="M14" t="s">
        <v>102</v>
      </c>
      <c r="N14" t="s">
        <v>269</v>
      </c>
      <c r="O14" t="s">
        <v>76</v>
      </c>
      <c r="P14" t="str">
        <f>"11912270 FM                   "</f>
        <v xml:space="preserve">11912270 FM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23.54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5</v>
      </c>
      <c r="BK14">
        <v>5</v>
      </c>
      <c r="BL14">
        <v>128.16999999999999</v>
      </c>
      <c r="BM14">
        <v>19.23</v>
      </c>
      <c r="BN14">
        <v>147.4</v>
      </c>
      <c r="BO14">
        <v>147.4</v>
      </c>
      <c r="BQ14" t="s">
        <v>176</v>
      </c>
      <c r="BR14" t="s">
        <v>270</v>
      </c>
      <c r="BS14" s="2">
        <v>44344</v>
      </c>
      <c r="BT14" s="3">
        <v>0.43333333333333335</v>
      </c>
      <c r="BU14" t="s">
        <v>271</v>
      </c>
      <c r="BV14" t="s">
        <v>77</v>
      </c>
      <c r="BY14">
        <v>25047</v>
      </c>
      <c r="BZ14" t="s">
        <v>84</v>
      </c>
      <c r="CA14" t="s">
        <v>122</v>
      </c>
      <c r="CC14" t="s">
        <v>102</v>
      </c>
      <c r="CD14">
        <v>8000</v>
      </c>
      <c r="CE14" t="s">
        <v>90</v>
      </c>
      <c r="CI14">
        <v>1</v>
      </c>
      <c r="CJ14">
        <v>1</v>
      </c>
      <c r="CK14">
        <v>21</v>
      </c>
      <c r="CL14" t="s">
        <v>78</v>
      </c>
    </row>
    <row r="15" spans="1:92" x14ac:dyDescent="0.25">
      <c r="A15" t="s">
        <v>222</v>
      </c>
      <c r="B15" t="s">
        <v>223</v>
      </c>
      <c r="C15" t="s">
        <v>72</v>
      </c>
      <c r="E15" t="str">
        <f>"009940135287"</f>
        <v>009940135287</v>
      </c>
      <c r="F15" s="2">
        <v>44341</v>
      </c>
      <c r="G15">
        <v>202111</v>
      </c>
      <c r="H15" t="s">
        <v>91</v>
      </c>
      <c r="I15" t="s">
        <v>92</v>
      </c>
      <c r="J15" t="s">
        <v>236</v>
      </c>
      <c r="K15" t="s">
        <v>75</v>
      </c>
      <c r="L15" t="s">
        <v>101</v>
      </c>
      <c r="M15" t="s">
        <v>102</v>
      </c>
      <c r="N15" t="s">
        <v>272</v>
      </c>
      <c r="O15" t="s">
        <v>133</v>
      </c>
      <c r="P15" t="str">
        <f>"JNX2105650094                 "</f>
        <v xml:space="preserve">JNX2105650094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17.66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96.16</v>
      </c>
      <c r="BM15">
        <v>14.42</v>
      </c>
      <c r="BN15">
        <v>110.58</v>
      </c>
      <c r="BO15">
        <v>110.58</v>
      </c>
      <c r="BQ15" t="s">
        <v>273</v>
      </c>
      <c r="BR15" t="s">
        <v>274</v>
      </c>
      <c r="BS15" s="2">
        <v>44342</v>
      </c>
      <c r="BT15" s="3">
        <v>0.42291666666666666</v>
      </c>
      <c r="BU15" t="s">
        <v>275</v>
      </c>
      <c r="BV15" t="s">
        <v>77</v>
      </c>
      <c r="BY15">
        <v>1200</v>
      </c>
      <c r="BZ15" t="s">
        <v>156</v>
      </c>
      <c r="CA15" t="s">
        <v>147</v>
      </c>
      <c r="CC15" t="s">
        <v>102</v>
      </c>
      <c r="CD15">
        <v>7800</v>
      </c>
      <c r="CE15" t="s">
        <v>90</v>
      </c>
      <c r="CF15" s="2">
        <v>44343</v>
      </c>
      <c r="CI15">
        <v>1</v>
      </c>
      <c r="CJ15">
        <v>1</v>
      </c>
      <c r="CK15">
        <v>31</v>
      </c>
      <c r="CL15" t="s">
        <v>78</v>
      </c>
    </row>
    <row r="16" spans="1:92" x14ac:dyDescent="0.25">
      <c r="A16" t="s">
        <v>222</v>
      </c>
      <c r="B16" t="s">
        <v>223</v>
      </c>
      <c r="C16" t="s">
        <v>72</v>
      </c>
      <c r="E16" t="str">
        <f>"009940718557"</f>
        <v>009940718557</v>
      </c>
      <c r="F16" s="2">
        <v>44341</v>
      </c>
      <c r="G16">
        <v>202111</v>
      </c>
      <c r="H16" t="s">
        <v>96</v>
      </c>
      <c r="I16" t="s">
        <v>97</v>
      </c>
      <c r="J16" t="s">
        <v>242</v>
      </c>
      <c r="K16" t="s">
        <v>75</v>
      </c>
      <c r="L16" t="s">
        <v>94</v>
      </c>
      <c r="M16" t="s">
        <v>95</v>
      </c>
      <c r="N16" t="s">
        <v>261</v>
      </c>
      <c r="O16" t="s">
        <v>76</v>
      </c>
      <c r="P16" t="str">
        <f>"119 422 70FM                  "</f>
        <v xml:space="preserve">119 422 70FM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9.42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51.29</v>
      </c>
      <c r="BM16">
        <v>7.69</v>
      </c>
      <c r="BN16">
        <v>58.98</v>
      </c>
      <c r="BO16">
        <v>58.98</v>
      </c>
      <c r="BQ16" t="s">
        <v>276</v>
      </c>
      <c r="BR16" t="s">
        <v>201</v>
      </c>
      <c r="BS16" s="2">
        <v>44342</v>
      </c>
      <c r="BT16" s="3">
        <v>0.39374999999999999</v>
      </c>
      <c r="BU16" t="s">
        <v>264</v>
      </c>
      <c r="BV16" t="s">
        <v>77</v>
      </c>
      <c r="BY16">
        <v>1200</v>
      </c>
      <c r="BZ16" t="s">
        <v>84</v>
      </c>
      <c r="CA16" t="s">
        <v>179</v>
      </c>
      <c r="CC16" t="s">
        <v>95</v>
      </c>
      <c r="CD16">
        <v>157</v>
      </c>
      <c r="CE16" t="s">
        <v>90</v>
      </c>
      <c r="CF16" s="2">
        <v>44342</v>
      </c>
      <c r="CI16">
        <v>1</v>
      </c>
      <c r="CJ16">
        <v>1</v>
      </c>
      <c r="CK16">
        <v>21</v>
      </c>
      <c r="CL16" t="s">
        <v>78</v>
      </c>
    </row>
    <row r="17" spans="1:90" x14ac:dyDescent="0.25">
      <c r="A17" t="s">
        <v>222</v>
      </c>
      <c r="B17" t="s">
        <v>223</v>
      </c>
      <c r="C17" t="s">
        <v>72</v>
      </c>
      <c r="E17" t="str">
        <f>"009940718558"</f>
        <v>009940718558</v>
      </c>
      <c r="F17" s="2">
        <v>44341</v>
      </c>
      <c r="G17">
        <v>202111</v>
      </c>
      <c r="H17" t="s">
        <v>96</v>
      </c>
      <c r="I17" t="s">
        <v>97</v>
      </c>
      <c r="J17" t="s">
        <v>242</v>
      </c>
      <c r="K17" t="s">
        <v>75</v>
      </c>
      <c r="L17" t="s">
        <v>101</v>
      </c>
      <c r="M17" t="s">
        <v>102</v>
      </c>
      <c r="N17" t="s">
        <v>233</v>
      </c>
      <c r="O17" t="s">
        <v>76</v>
      </c>
      <c r="P17" t="str">
        <f>"119 422 70FM                  "</f>
        <v xml:space="preserve">119 422 70FM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9.42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0.5</v>
      </c>
      <c r="BK17">
        <v>2</v>
      </c>
      <c r="BL17">
        <v>51.29</v>
      </c>
      <c r="BM17">
        <v>7.69</v>
      </c>
      <c r="BN17">
        <v>58.98</v>
      </c>
      <c r="BO17">
        <v>58.98</v>
      </c>
      <c r="BQ17" t="s">
        <v>234</v>
      </c>
      <c r="BR17" t="s">
        <v>201</v>
      </c>
      <c r="BS17" s="2">
        <v>44343</v>
      </c>
      <c r="BT17" s="3">
        <v>0.41250000000000003</v>
      </c>
      <c r="BU17" t="s">
        <v>277</v>
      </c>
      <c r="BV17" t="s">
        <v>78</v>
      </c>
      <c r="BW17" t="s">
        <v>128</v>
      </c>
      <c r="BX17" t="s">
        <v>112</v>
      </c>
      <c r="BY17">
        <v>2400</v>
      </c>
      <c r="BZ17" t="s">
        <v>84</v>
      </c>
      <c r="CA17" t="s">
        <v>122</v>
      </c>
      <c r="CC17" t="s">
        <v>102</v>
      </c>
      <c r="CD17">
        <v>8000</v>
      </c>
      <c r="CE17" t="s">
        <v>90</v>
      </c>
      <c r="CI17">
        <v>1</v>
      </c>
      <c r="CJ17">
        <v>2</v>
      </c>
      <c r="CK17">
        <v>21</v>
      </c>
      <c r="CL17" t="s">
        <v>78</v>
      </c>
    </row>
    <row r="18" spans="1:90" x14ac:dyDescent="0.25">
      <c r="A18" t="s">
        <v>222</v>
      </c>
      <c r="B18" t="s">
        <v>223</v>
      </c>
      <c r="C18" t="s">
        <v>72</v>
      </c>
      <c r="E18" t="str">
        <f>"009940641813"</f>
        <v>009940641813</v>
      </c>
      <c r="F18" s="2">
        <v>44341</v>
      </c>
      <c r="G18">
        <v>202111</v>
      </c>
      <c r="H18" t="s">
        <v>101</v>
      </c>
      <c r="I18" t="s">
        <v>102</v>
      </c>
      <c r="J18" t="s">
        <v>236</v>
      </c>
      <c r="K18" t="s">
        <v>75</v>
      </c>
      <c r="L18" t="s">
        <v>96</v>
      </c>
      <c r="M18" t="s">
        <v>97</v>
      </c>
      <c r="N18" t="s">
        <v>236</v>
      </c>
      <c r="O18" t="s">
        <v>76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553.08000000000004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4</v>
      </c>
      <c r="BI18">
        <v>117.2</v>
      </c>
      <c r="BJ18">
        <v>86.3</v>
      </c>
      <c r="BK18">
        <v>117.5</v>
      </c>
      <c r="BL18">
        <v>3011.21</v>
      </c>
      <c r="BM18">
        <v>451.68</v>
      </c>
      <c r="BN18">
        <v>3462.89</v>
      </c>
      <c r="BO18">
        <v>3462.89</v>
      </c>
      <c r="BQ18" t="s">
        <v>278</v>
      </c>
      <c r="BR18" t="s">
        <v>239</v>
      </c>
      <c r="BS18" s="2">
        <v>44342</v>
      </c>
      <c r="BT18" s="3">
        <v>0.41666666666666669</v>
      </c>
      <c r="BU18" t="s">
        <v>279</v>
      </c>
      <c r="BV18" t="s">
        <v>77</v>
      </c>
      <c r="BY18">
        <v>431540.92</v>
      </c>
      <c r="BZ18" t="s">
        <v>84</v>
      </c>
      <c r="CC18" t="s">
        <v>97</v>
      </c>
      <c r="CD18">
        <v>4001</v>
      </c>
      <c r="CE18" t="s">
        <v>90</v>
      </c>
      <c r="CF18" s="2">
        <v>44342</v>
      </c>
      <c r="CI18">
        <v>1</v>
      </c>
      <c r="CJ18">
        <v>1</v>
      </c>
      <c r="CK18">
        <v>21</v>
      </c>
      <c r="CL18" t="s">
        <v>78</v>
      </c>
    </row>
    <row r="19" spans="1:90" x14ac:dyDescent="0.25">
      <c r="A19" t="s">
        <v>222</v>
      </c>
      <c r="B19" t="s">
        <v>223</v>
      </c>
      <c r="C19" t="s">
        <v>72</v>
      </c>
      <c r="E19" t="str">
        <f>"009941460341"</f>
        <v>009941460341</v>
      </c>
      <c r="F19" s="2">
        <v>44341</v>
      </c>
      <c r="G19">
        <v>202111</v>
      </c>
      <c r="H19" t="s">
        <v>124</v>
      </c>
      <c r="I19" t="s">
        <v>124</v>
      </c>
      <c r="J19" t="s">
        <v>280</v>
      </c>
      <c r="K19" t="s">
        <v>75</v>
      </c>
      <c r="L19" t="s">
        <v>94</v>
      </c>
      <c r="M19" t="s">
        <v>95</v>
      </c>
      <c r="N19" t="s">
        <v>196</v>
      </c>
      <c r="O19" t="s">
        <v>76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55.35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1.6</v>
      </c>
      <c r="BJ19">
        <v>6.5</v>
      </c>
      <c r="BK19">
        <v>6.5</v>
      </c>
      <c r="BL19">
        <v>301.35000000000002</v>
      </c>
      <c r="BM19">
        <v>45.2</v>
      </c>
      <c r="BN19">
        <v>346.55</v>
      </c>
      <c r="BO19">
        <v>346.55</v>
      </c>
      <c r="BQ19" t="s">
        <v>281</v>
      </c>
      <c r="BR19" t="s">
        <v>282</v>
      </c>
      <c r="BS19" s="2">
        <v>44342</v>
      </c>
      <c r="BT19" s="3">
        <v>0.40972222222222227</v>
      </c>
      <c r="BU19" t="s">
        <v>283</v>
      </c>
      <c r="BV19" t="s">
        <v>77</v>
      </c>
      <c r="BY19">
        <v>32738.97</v>
      </c>
      <c r="BZ19" t="s">
        <v>84</v>
      </c>
      <c r="CA19" t="s">
        <v>163</v>
      </c>
      <c r="CC19" t="s">
        <v>95</v>
      </c>
      <c r="CD19">
        <v>81</v>
      </c>
      <c r="CE19" t="s">
        <v>90</v>
      </c>
      <c r="CF19" s="2">
        <v>44342</v>
      </c>
      <c r="CI19">
        <v>1</v>
      </c>
      <c r="CJ19">
        <v>1</v>
      </c>
      <c r="CK19">
        <v>23</v>
      </c>
      <c r="CL19" t="s">
        <v>78</v>
      </c>
    </row>
    <row r="20" spans="1:90" x14ac:dyDescent="0.25">
      <c r="A20" t="s">
        <v>222</v>
      </c>
      <c r="B20" t="s">
        <v>223</v>
      </c>
      <c r="C20" t="s">
        <v>72</v>
      </c>
      <c r="E20" t="str">
        <f>"009941460340"</f>
        <v>009941460340</v>
      </c>
      <c r="F20" s="2">
        <v>44341</v>
      </c>
      <c r="G20">
        <v>202111</v>
      </c>
      <c r="H20" t="s">
        <v>124</v>
      </c>
      <c r="I20" t="s">
        <v>124</v>
      </c>
      <c r="J20" t="s">
        <v>280</v>
      </c>
      <c r="K20" t="s">
        <v>75</v>
      </c>
      <c r="L20" t="s">
        <v>85</v>
      </c>
      <c r="M20" t="s">
        <v>86</v>
      </c>
      <c r="N20" t="s">
        <v>196</v>
      </c>
      <c r="O20" t="s">
        <v>76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42.98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1.9</v>
      </c>
      <c r="BJ20">
        <v>4.5999999999999996</v>
      </c>
      <c r="BK20">
        <v>5</v>
      </c>
      <c r="BL20">
        <v>234.02</v>
      </c>
      <c r="BM20">
        <v>35.1</v>
      </c>
      <c r="BN20">
        <v>269.12</v>
      </c>
      <c r="BO20">
        <v>269.12</v>
      </c>
      <c r="BQ20" t="s">
        <v>284</v>
      </c>
      <c r="BR20" t="s">
        <v>282</v>
      </c>
      <c r="BS20" s="2">
        <v>44342</v>
      </c>
      <c r="BT20" s="3">
        <v>0.40138888888888885</v>
      </c>
      <c r="BU20" t="s">
        <v>285</v>
      </c>
      <c r="BV20" t="s">
        <v>77</v>
      </c>
      <c r="BY20">
        <v>23016.84</v>
      </c>
      <c r="BZ20" t="s">
        <v>84</v>
      </c>
      <c r="CA20" t="s">
        <v>216</v>
      </c>
      <c r="CC20" t="s">
        <v>86</v>
      </c>
      <c r="CD20">
        <v>2196</v>
      </c>
      <c r="CE20" t="s">
        <v>90</v>
      </c>
      <c r="CF20" s="2">
        <v>44343</v>
      </c>
      <c r="CI20">
        <v>1</v>
      </c>
      <c r="CJ20">
        <v>1</v>
      </c>
      <c r="CK20">
        <v>23</v>
      </c>
      <c r="CL20" t="s">
        <v>78</v>
      </c>
    </row>
    <row r="21" spans="1:90" x14ac:dyDescent="0.25">
      <c r="A21" t="s">
        <v>222</v>
      </c>
      <c r="B21" t="s">
        <v>223</v>
      </c>
      <c r="C21" t="s">
        <v>72</v>
      </c>
      <c r="E21" t="str">
        <f>"009938634392"</f>
        <v>009938634392</v>
      </c>
      <c r="F21" s="2">
        <v>44343</v>
      </c>
      <c r="G21">
        <v>202111</v>
      </c>
      <c r="H21" t="s">
        <v>94</v>
      </c>
      <c r="I21" t="s">
        <v>95</v>
      </c>
      <c r="J21" t="s">
        <v>242</v>
      </c>
      <c r="K21" t="s">
        <v>75</v>
      </c>
      <c r="L21" t="s">
        <v>145</v>
      </c>
      <c r="M21" t="s">
        <v>146</v>
      </c>
      <c r="N21" t="s">
        <v>286</v>
      </c>
      <c r="O21" t="s">
        <v>130</v>
      </c>
      <c r="P21" t="str">
        <f>"NO REF.                       "</f>
        <v xml:space="preserve">NO REF.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13.25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0.7</v>
      </c>
      <c r="BJ21">
        <v>0.9</v>
      </c>
      <c r="BK21">
        <v>1</v>
      </c>
      <c r="BL21">
        <v>77.13</v>
      </c>
      <c r="BM21">
        <v>11.57</v>
      </c>
      <c r="BN21">
        <v>88.7</v>
      </c>
      <c r="BO21">
        <v>88.7</v>
      </c>
      <c r="BQ21" t="s">
        <v>287</v>
      </c>
      <c r="BR21" t="s">
        <v>106</v>
      </c>
      <c r="BS21" s="2">
        <v>44344</v>
      </c>
      <c r="BT21" s="3">
        <v>0.375</v>
      </c>
      <c r="BU21" t="s">
        <v>288</v>
      </c>
      <c r="BY21">
        <v>4717.4399999999996</v>
      </c>
      <c r="CA21" t="s">
        <v>203</v>
      </c>
      <c r="CC21" t="s">
        <v>146</v>
      </c>
      <c r="CD21">
        <v>742</v>
      </c>
      <c r="CE21" t="s">
        <v>106</v>
      </c>
      <c r="CI21">
        <v>0</v>
      </c>
      <c r="CJ21">
        <v>0</v>
      </c>
      <c r="CK21" t="s">
        <v>132</v>
      </c>
      <c r="CL21" t="s">
        <v>78</v>
      </c>
    </row>
    <row r="22" spans="1:90" x14ac:dyDescent="0.25">
      <c r="A22" t="s">
        <v>222</v>
      </c>
      <c r="B22" t="s">
        <v>223</v>
      </c>
      <c r="C22" t="s">
        <v>72</v>
      </c>
      <c r="E22" t="str">
        <f>"009938634391"</f>
        <v>009938634391</v>
      </c>
      <c r="F22" s="2">
        <v>44342</v>
      </c>
      <c r="G22">
        <v>202111</v>
      </c>
      <c r="H22" t="s">
        <v>94</v>
      </c>
      <c r="I22" t="s">
        <v>95</v>
      </c>
      <c r="J22" t="s">
        <v>242</v>
      </c>
      <c r="K22" t="s">
        <v>75</v>
      </c>
      <c r="L22" t="s">
        <v>153</v>
      </c>
      <c r="M22" t="s">
        <v>102</v>
      </c>
      <c r="N22" t="s">
        <v>289</v>
      </c>
      <c r="O22" t="s">
        <v>130</v>
      </c>
      <c r="P22" t="str">
        <f>"NO REF.                       "</f>
        <v xml:space="preserve">NO REF.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22.96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130.02000000000001</v>
      </c>
      <c r="BM22">
        <v>19.5</v>
      </c>
      <c r="BN22">
        <v>149.52000000000001</v>
      </c>
      <c r="BO22">
        <v>149.52000000000001</v>
      </c>
      <c r="BQ22" t="s">
        <v>234</v>
      </c>
      <c r="BR22" t="s">
        <v>290</v>
      </c>
      <c r="BS22" s="2">
        <v>44344</v>
      </c>
      <c r="BT22" s="3">
        <v>0.43472222222222223</v>
      </c>
      <c r="BU22" t="s">
        <v>268</v>
      </c>
      <c r="BY22">
        <v>1200</v>
      </c>
      <c r="CA22" t="s">
        <v>122</v>
      </c>
      <c r="CC22" t="s">
        <v>102</v>
      </c>
      <c r="CD22">
        <v>8000</v>
      </c>
      <c r="CE22" t="s">
        <v>106</v>
      </c>
      <c r="CI22">
        <v>0</v>
      </c>
      <c r="CJ22">
        <v>0</v>
      </c>
      <c r="CK22" t="s">
        <v>208</v>
      </c>
      <c r="CL22" t="s">
        <v>78</v>
      </c>
    </row>
    <row r="23" spans="1:90" x14ac:dyDescent="0.25">
      <c r="A23" t="s">
        <v>222</v>
      </c>
      <c r="B23" t="s">
        <v>223</v>
      </c>
      <c r="C23" t="s">
        <v>72</v>
      </c>
      <c r="E23" t="str">
        <f>"009940641816"</f>
        <v>009940641816</v>
      </c>
      <c r="F23" s="2">
        <v>44340</v>
      </c>
      <c r="G23">
        <v>202111</v>
      </c>
      <c r="H23" t="s">
        <v>101</v>
      </c>
      <c r="I23" t="s">
        <v>102</v>
      </c>
      <c r="J23" t="s">
        <v>236</v>
      </c>
      <c r="K23" t="s">
        <v>75</v>
      </c>
      <c r="L23" t="s">
        <v>98</v>
      </c>
      <c r="M23" t="s">
        <v>99</v>
      </c>
      <c r="N23" t="s">
        <v>291</v>
      </c>
      <c r="O23" t="s">
        <v>130</v>
      </c>
      <c r="P23" t="str">
        <f>"MT CAPE TOWN                  "</f>
        <v xml:space="preserve">MT CAPE TOWN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19.28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11.7</v>
      </c>
      <c r="BJ23">
        <v>9.6999999999999993</v>
      </c>
      <c r="BK23">
        <v>12</v>
      </c>
      <c r="BL23">
        <v>109.99</v>
      </c>
      <c r="BM23">
        <v>16.5</v>
      </c>
      <c r="BN23">
        <v>126.49</v>
      </c>
      <c r="BO23">
        <v>126.49</v>
      </c>
      <c r="BQ23" t="s">
        <v>292</v>
      </c>
      <c r="BR23" t="s">
        <v>239</v>
      </c>
      <c r="BS23" s="2">
        <v>44342</v>
      </c>
      <c r="BT23" s="3">
        <v>0.40277777777777773</v>
      </c>
      <c r="BU23" t="s">
        <v>293</v>
      </c>
      <c r="BV23" t="s">
        <v>77</v>
      </c>
      <c r="BY23">
        <v>48633.599999999999</v>
      </c>
      <c r="CA23" t="s">
        <v>113</v>
      </c>
      <c r="CC23" t="s">
        <v>99</v>
      </c>
      <c r="CD23">
        <v>3200</v>
      </c>
      <c r="CE23" t="s">
        <v>90</v>
      </c>
      <c r="CF23" s="2">
        <v>44342</v>
      </c>
      <c r="CI23">
        <v>3</v>
      </c>
      <c r="CJ23">
        <v>2</v>
      </c>
      <c r="CK23" t="s">
        <v>134</v>
      </c>
      <c r="CL23" t="s">
        <v>78</v>
      </c>
    </row>
    <row r="24" spans="1:90" x14ac:dyDescent="0.25">
      <c r="A24" t="s">
        <v>222</v>
      </c>
      <c r="B24" t="s">
        <v>223</v>
      </c>
      <c r="C24" t="s">
        <v>72</v>
      </c>
      <c r="E24" t="str">
        <f>"009941483509"</f>
        <v>009941483509</v>
      </c>
      <c r="F24" s="2">
        <v>44340</v>
      </c>
      <c r="G24">
        <v>202111</v>
      </c>
      <c r="H24" t="s">
        <v>73</v>
      </c>
      <c r="I24" t="s">
        <v>74</v>
      </c>
      <c r="J24" t="s">
        <v>248</v>
      </c>
      <c r="K24" t="s">
        <v>75</v>
      </c>
      <c r="L24" t="s">
        <v>103</v>
      </c>
      <c r="M24" t="s">
        <v>104</v>
      </c>
      <c r="N24" t="s">
        <v>294</v>
      </c>
      <c r="O24" t="s">
        <v>130</v>
      </c>
      <c r="P24" t="str">
        <f>"462776                        "</f>
        <v xml:space="preserve">462776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22.96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130.02000000000001</v>
      </c>
      <c r="BM24">
        <v>19.5</v>
      </c>
      <c r="BN24">
        <v>149.52000000000001</v>
      </c>
      <c r="BO24">
        <v>149.52000000000001</v>
      </c>
      <c r="BQ24" t="s">
        <v>170</v>
      </c>
      <c r="BR24" t="s">
        <v>252</v>
      </c>
      <c r="BS24" s="2">
        <v>44342</v>
      </c>
      <c r="BT24" s="3">
        <v>0.65555555555555556</v>
      </c>
      <c r="BU24" t="s">
        <v>295</v>
      </c>
      <c r="BV24" t="s">
        <v>77</v>
      </c>
      <c r="BY24">
        <v>1200</v>
      </c>
      <c r="CC24" t="s">
        <v>104</v>
      </c>
      <c r="CD24">
        <v>6529</v>
      </c>
      <c r="CE24" t="s">
        <v>90</v>
      </c>
      <c r="CF24" s="2">
        <v>44343</v>
      </c>
      <c r="CI24">
        <v>0</v>
      </c>
      <c r="CJ24">
        <v>0</v>
      </c>
      <c r="CK24" t="s">
        <v>140</v>
      </c>
      <c r="CL24" t="s">
        <v>78</v>
      </c>
    </row>
    <row r="25" spans="1:90" x14ac:dyDescent="0.25">
      <c r="A25" t="s">
        <v>222</v>
      </c>
      <c r="B25" t="s">
        <v>223</v>
      </c>
      <c r="C25" t="s">
        <v>72</v>
      </c>
      <c r="E25" t="str">
        <f>"009941483511"</f>
        <v>009941483511</v>
      </c>
      <c r="F25" s="2">
        <v>44341</v>
      </c>
      <c r="G25">
        <v>202111</v>
      </c>
      <c r="H25" t="s">
        <v>73</v>
      </c>
      <c r="I25" t="s">
        <v>74</v>
      </c>
      <c r="J25" t="s">
        <v>248</v>
      </c>
      <c r="K25" t="s">
        <v>75</v>
      </c>
      <c r="L25" t="s">
        <v>249</v>
      </c>
      <c r="M25" t="s">
        <v>249</v>
      </c>
      <c r="N25" t="s">
        <v>250</v>
      </c>
      <c r="O25" t="s">
        <v>130</v>
      </c>
      <c r="P25" t="str">
        <f>"462930 462933 462977          "</f>
        <v xml:space="preserve">462930 462933 462977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50.05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34.700000000000003</v>
      </c>
      <c r="BJ25">
        <v>18.100000000000001</v>
      </c>
      <c r="BK25">
        <v>35</v>
      </c>
      <c r="BL25">
        <v>277.51</v>
      </c>
      <c r="BM25">
        <v>41.63</v>
      </c>
      <c r="BN25">
        <v>319.14</v>
      </c>
      <c r="BO25">
        <v>319.14</v>
      </c>
      <c r="BQ25" t="s">
        <v>251</v>
      </c>
      <c r="BR25" t="s">
        <v>252</v>
      </c>
      <c r="BS25" t="s">
        <v>83</v>
      </c>
      <c r="BY25">
        <v>90387.44</v>
      </c>
      <c r="CC25" t="s">
        <v>249</v>
      </c>
      <c r="CD25">
        <v>6836</v>
      </c>
      <c r="CE25" t="s">
        <v>90</v>
      </c>
      <c r="CI25">
        <v>3</v>
      </c>
      <c r="CJ25" t="s">
        <v>83</v>
      </c>
      <c r="CK25" t="s">
        <v>140</v>
      </c>
      <c r="CL25" t="s">
        <v>78</v>
      </c>
    </row>
    <row r="26" spans="1:90" x14ac:dyDescent="0.25">
      <c r="A26" t="s">
        <v>222</v>
      </c>
      <c r="B26" t="s">
        <v>223</v>
      </c>
      <c r="C26" t="s">
        <v>72</v>
      </c>
      <c r="E26" t="str">
        <f>"009941483510"</f>
        <v>009941483510</v>
      </c>
      <c r="F26" s="2">
        <v>44341</v>
      </c>
      <c r="G26">
        <v>202111</v>
      </c>
      <c r="H26" t="s">
        <v>73</v>
      </c>
      <c r="I26" t="s">
        <v>74</v>
      </c>
      <c r="J26" t="s">
        <v>248</v>
      </c>
      <c r="K26" t="s">
        <v>75</v>
      </c>
      <c r="L26" t="s">
        <v>103</v>
      </c>
      <c r="M26" t="s">
        <v>104</v>
      </c>
      <c r="N26" t="s">
        <v>294</v>
      </c>
      <c r="O26" t="s">
        <v>130</v>
      </c>
      <c r="P26" t="str">
        <f>"462761                        "</f>
        <v xml:space="preserve">462761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22.96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9.5</v>
      </c>
      <c r="BJ26">
        <v>12.9</v>
      </c>
      <c r="BK26">
        <v>13</v>
      </c>
      <c r="BL26">
        <v>130.02000000000001</v>
      </c>
      <c r="BM26">
        <v>19.5</v>
      </c>
      <c r="BN26">
        <v>149.52000000000001</v>
      </c>
      <c r="BO26">
        <v>149.52000000000001</v>
      </c>
      <c r="BQ26" t="s">
        <v>296</v>
      </c>
      <c r="BR26" t="s">
        <v>252</v>
      </c>
      <c r="BS26" s="2">
        <v>44343</v>
      </c>
      <c r="BT26" s="3">
        <v>0.67013888888888884</v>
      </c>
      <c r="BU26" t="s">
        <v>297</v>
      </c>
      <c r="BV26" t="s">
        <v>77</v>
      </c>
      <c r="BY26">
        <v>64605</v>
      </c>
      <c r="CC26" t="s">
        <v>104</v>
      </c>
      <c r="CD26">
        <v>6529</v>
      </c>
      <c r="CE26" t="s">
        <v>90</v>
      </c>
      <c r="CF26" s="2">
        <v>44343</v>
      </c>
      <c r="CI26">
        <v>0</v>
      </c>
      <c r="CJ26">
        <v>0</v>
      </c>
      <c r="CK26" t="s">
        <v>140</v>
      </c>
      <c r="CL26" t="s">
        <v>78</v>
      </c>
    </row>
    <row r="27" spans="1:90" x14ac:dyDescent="0.25">
      <c r="A27" t="s">
        <v>222</v>
      </c>
      <c r="B27" t="s">
        <v>223</v>
      </c>
      <c r="C27" t="s">
        <v>72</v>
      </c>
      <c r="E27" t="str">
        <f>"009940648445"</f>
        <v>009940648445</v>
      </c>
      <c r="F27" s="2">
        <v>44319</v>
      </c>
      <c r="G27">
        <v>202111</v>
      </c>
      <c r="H27" t="s">
        <v>101</v>
      </c>
      <c r="I27" t="s">
        <v>102</v>
      </c>
      <c r="J27" t="s">
        <v>242</v>
      </c>
      <c r="K27" t="s">
        <v>75</v>
      </c>
      <c r="L27" t="s">
        <v>94</v>
      </c>
      <c r="M27" t="s">
        <v>95</v>
      </c>
      <c r="N27" t="s">
        <v>298</v>
      </c>
      <c r="O27" t="s">
        <v>133</v>
      </c>
      <c r="P27" t="str">
        <f>"JNB210430024 1                "</f>
        <v xml:space="preserve">JNB210430024 1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18.45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0.3</v>
      </c>
      <c r="BK27">
        <v>1</v>
      </c>
      <c r="BL27">
        <v>96.95</v>
      </c>
      <c r="BM27">
        <v>14.54</v>
      </c>
      <c r="BN27">
        <v>111.49</v>
      </c>
      <c r="BO27">
        <v>111.49</v>
      </c>
      <c r="BQ27" t="s">
        <v>299</v>
      </c>
      <c r="BR27" t="s">
        <v>300</v>
      </c>
      <c r="BS27" s="2">
        <v>44320</v>
      </c>
      <c r="BT27" s="3">
        <v>0.37152777777777773</v>
      </c>
      <c r="BU27" t="s">
        <v>264</v>
      </c>
      <c r="BV27" t="s">
        <v>77</v>
      </c>
      <c r="BY27">
        <v>1447.42</v>
      </c>
      <c r="BZ27" t="s">
        <v>156</v>
      </c>
      <c r="CA27" t="s">
        <v>179</v>
      </c>
      <c r="CC27" t="s">
        <v>95</v>
      </c>
      <c r="CD27">
        <v>157</v>
      </c>
      <c r="CE27" t="s">
        <v>90</v>
      </c>
      <c r="CF27" s="2">
        <v>44320</v>
      </c>
      <c r="CI27">
        <v>1</v>
      </c>
      <c r="CJ27">
        <v>1</v>
      </c>
      <c r="CK27">
        <v>31</v>
      </c>
      <c r="CL27" t="s">
        <v>78</v>
      </c>
    </row>
    <row r="28" spans="1:90" x14ac:dyDescent="0.25">
      <c r="A28" t="s">
        <v>222</v>
      </c>
      <c r="B28" t="s">
        <v>223</v>
      </c>
      <c r="C28" t="s">
        <v>72</v>
      </c>
      <c r="E28" t="str">
        <f>"009940857270"</f>
        <v>009940857270</v>
      </c>
      <c r="F28" s="2">
        <v>44319</v>
      </c>
      <c r="G28">
        <v>202111</v>
      </c>
      <c r="H28" t="s">
        <v>91</v>
      </c>
      <c r="I28" t="s">
        <v>92</v>
      </c>
      <c r="J28" t="s">
        <v>256</v>
      </c>
      <c r="K28" t="s">
        <v>75</v>
      </c>
      <c r="L28" t="s">
        <v>81</v>
      </c>
      <c r="M28" t="s">
        <v>82</v>
      </c>
      <c r="N28" t="s">
        <v>301</v>
      </c>
      <c r="O28" t="s">
        <v>130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23.59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12.6</v>
      </c>
      <c r="BJ28">
        <v>18.399999999999999</v>
      </c>
      <c r="BK28">
        <v>19</v>
      </c>
      <c r="BL28">
        <v>128.97999999999999</v>
      </c>
      <c r="BM28">
        <v>19.350000000000001</v>
      </c>
      <c r="BN28">
        <v>148.33000000000001</v>
      </c>
      <c r="BO28">
        <v>148.33000000000001</v>
      </c>
      <c r="BQ28" t="s">
        <v>218</v>
      </c>
      <c r="BR28" t="s">
        <v>259</v>
      </c>
      <c r="BS28" s="2">
        <v>44321</v>
      </c>
      <c r="BT28" s="3">
        <v>0.4201388888888889</v>
      </c>
      <c r="BU28" t="s">
        <v>260</v>
      </c>
      <c r="BV28" t="s">
        <v>77</v>
      </c>
      <c r="BY28">
        <v>92173.06</v>
      </c>
      <c r="CA28" t="s">
        <v>115</v>
      </c>
      <c r="CC28" t="s">
        <v>82</v>
      </c>
      <c r="CD28">
        <v>6001</v>
      </c>
      <c r="CE28" t="s">
        <v>90</v>
      </c>
      <c r="CF28" s="2">
        <v>44321</v>
      </c>
      <c r="CI28">
        <v>2</v>
      </c>
      <c r="CJ28">
        <v>2</v>
      </c>
      <c r="CK28" t="s">
        <v>134</v>
      </c>
      <c r="CL28" t="s">
        <v>78</v>
      </c>
    </row>
    <row r="29" spans="1:90" x14ac:dyDescent="0.25">
      <c r="A29" t="s">
        <v>222</v>
      </c>
      <c r="B29" t="s">
        <v>223</v>
      </c>
      <c r="C29" t="s">
        <v>72</v>
      </c>
      <c r="E29" t="str">
        <f>"009940912216"</f>
        <v>009940912216</v>
      </c>
      <c r="F29" s="2">
        <v>44320</v>
      </c>
      <c r="G29">
        <v>202111</v>
      </c>
      <c r="H29" t="s">
        <v>81</v>
      </c>
      <c r="I29" t="s">
        <v>82</v>
      </c>
      <c r="J29" t="s">
        <v>242</v>
      </c>
      <c r="K29" t="s">
        <v>75</v>
      </c>
      <c r="L29" t="s">
        <v>79</v>
      </c>
      <c r="M29" t="s">
        <v>80</v>
      </c>
      <c r="N29" t="s">
        <v>242</v>
      </c>
      <c r="O29" t="s">
        <v>76</v>
      </c>
      <c r="P29" t="str">
        <f>"11912270 FM                   "</f>
        <v xml:space="preserve">11912270 FM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9.84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51.71</v>
      </c>
      <c r="BM29">
        <v>7.76</v>
      </c>
      <c r="BN29">
        <v>59.47</v>
      </c>
      <c r="BO29">
        <v>59.47</v>
      </c>
      <c r="BQ29" t="s">
        <v>302</v>
      </c>
      <c r="BR29" t="s">
        <v>303</v>
      </c>
      <c r="BS29" s="2">
        <v>44321</v>
      </c>
      <c r="BT29" s="3">
        <v>0.5</v>
      </c>
      <c r="BU29" t="s">
        <v>304</v>
      </c>
      <c r="BV29" t="s">
        <v>77</v>
      </c>
      <c r="BY29">
        <v>1200</v>
      </c>
      <c r="BZ29" t="s">
        <v>84</v>
      </c>
      <c r="CA29" t="s">
        <v>117</v>
      </c>
      <c r="CC29" t="s">
        <v>80</v>
      </c>
      <c r="CD29">
        <v>5247</v>
      </c>
      <c r="CE29" t="s">
        <v>90</v>
      </c>
      <c r="CF29" s="2">
        <v>44321</v>
      </c>
      <c r="CI29">
        <v>1</v>
      </c>
      <c r="CJ29">
        <v>1</v>
      </c>
      <c r="CK29">
        <v>21</v>
      </c>
      <c r="CL29" t="s">
        <v>78</v>
      </c>
    </row>
    <row r="30" spans="1:90" x14ac:dyDescent="0.25">
      <c r="A30" t="s">
        <v>222</v>
      </c>
      <c r="B30" t="s">
        <v>223</v>
      </c>
      <c r="C30" t="s">
        <v>72</v>
      </c>
      <c r="E30" t="str">
        <f>"009940912217"</f>
        <v>009940912217</v>
      </c>
      <c r="F30" s="2">
        <v>44320</v>
      </c>
      <c r="G30">
        <v>202111</v>
      </c>
      <c r="H30" t="s">
        <v>81</v>
      </c>
      <c r="I30" t="s">
        <v>82</v>
      </c>
      <c r="J30" t="s">
        <v>242</v>
      </c>
      <c r="K30" t="s">
        <v>75</v>
      </c>
      <c r="L30" t="s">
        <v>184</v>
      </c>
      <c r="M30" t="s">
        <v>185</v>
      </c>
      <c r="N30" t="s">
        <v>242</v>
      </c>
      <c r="O30" t="s">
        <v>76</v>
      </c>
      <c r="P30" t="str">
        <f>"11912270 FM                   "</f>
        <v xml:space="preserve">11912270 FM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19.059999999999999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100.18</v>
      </c>
      <c r="BM30">
        <v>15.03</v>
      </c>
      <c r="BN30">
        <v>115.21</v>
      </c>
      <c r="BO30">
        <v>115.21</v>
      </c>
      <c r="BQ30" t="s">
        <v>305</v>
      </c>
      <c r="BR30" t="s">
        <v>303</v>
      </c>
      <c r="BS30" s="2">
        <v>44322</v>
      </c>
      <c r="BT30" s="3">
        <v>0.4993055555555555</v>
      </c>
      <c r="BU30" t="s">
        <v>138</v>
      </c>
      <c r="BV30" t="s">
        <v>77</v>
      </c>
      <c r="BY30">
        <v>1200</v>
      </c>
      <c r="BZ30" t="s">
        <v>84</v>
      </c>
      <c r="CC30" t="s">
        <v>185</v>
      </c>
      <c r="CD30">
        <v>5099</v>
      </c>
      <c r="CE30" t="s">
        <v>90</v>
      </c>
      <c r="CF30" s="2">
        <v>44322</v>
      </c>
      <c r="CI30">
        <v>3</v>
      </c>
      <c r="CJ30">
        <v>2</v>
      </c>
      <c r="CK30">
        <v>23</v>
      </c>
      <c r="CL30" t="s">
        <v>78</v>
      </c>
    </row>
    <row r="31" spans="1:90" x14ac:dyDescent="0.25">
      <c r="A31" t="s">
        <v>222</v>
      </c>
      <c r="B31" t="s">
        <v>223</v>
      </c>
      <c r="C31" t="s">
        <v>72</v>
      </c>
      <c r="E31" t="str">
        <f>"009940912215"</f>
        <v>009940912215</v>
      </c>
      <c r="F31" s="2">
        <v>44320</v>
      </c>
      <c r="G31">
        <v>202111</v>
      </c>
      <c r="H31" t="s">
        <v>81</v>
      </c>
      <c r="I31" t="s">
        <v>82</v>
      </c>
      <c r="J31" t="s">
        <v>242</v>
      </c>
      <c r="K31" t="s">
        <v>75</v>
      </c>
      <c r="L31" t="s">
        <v>103</v>
      </c>
      <c r="M31" t="s">
        <v>104</v>
      </c>
      <c r="N31" t="s">
        <v>242</v>
      </c>
      <c r="O31" t="s">
        <v>76</v>
      </c>
      <c r="P31" t="str">
        <f>"11912270 FM                   "</f>
        <v xml:space="preserve">11912270 FM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9.84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51.71</v>
      </c>
      <c r="BM31">
        <v>7.76</v>
      </c>
      <c r="BN31">
        <v>59.47</v>
      </c>
      <c r="BO31">
        <v>59.47</v>
      </c>
      <c r="BQ31" t="s">
        <v>306</v>
      </c>
      <c r="BR31" t="s">
        <v>303</v>
      </c>
      <c r="BS31" s="2">
        <v>44322</v>
      </c>
      <c r="BT31" s="3">
        <v>0.36458333333333331</v>
      </c>
      <c r="BU31" t="s">
        <v>307</v>
      </c>
      <c r="BV31" t="s">
        <v>78</v>
      </c>
      <c r="BY31">
        <v>1200</v>
      </c>
      <c r="BZ31" t="s">
        <v>84</v>
      </c>
      <c r="CC31" t="s">
        <v>104</v>
      </c>
      <c r="CD31">
        <v>6530</v>
      </c>
      <c r="CE31" t="s">
        <v>90</v>
      </c>
      <c r="CF31" s="2">
        <v>44326</v>
      </c>
      <c r="CI31">
        <v>1</v>
      </c>
      <c r="CJ31">
        <v>2</v>
      </c>
      <c r="CK31">
        <v>21</v>
      </c>
      <c r="CL31" t="s">
        <v>78</v>
      </c>
    </row>
    <row r="32" spans="1:90" x14ac:dyDescent="0.25">
      <c r="A32" t="s">
        <v>222</v>
      </c>
      <c r="B32" t="s">
        <v>223</v>
      </c>
      <c r="C32" t="s">
        <v>72</v>
      </c>
      <c r="E32" t="str">
        <f>"009940735149"</f>
        <v>009940735149</v>
      </c>
      <c r="F32" s="2">
        <v>44320</v>
      </c>
      <c r="G32">
        <v>202111</v>
      </c>
      <c r="H32" t="s">
        <v>73</v>
      </c>
      <c r="I32" t="s">
        <v>74</v>
      </c>
      <c r="J32" t="s">
        <v>265</v>
      </c>
      <c r="K32" t="s">
        <v>75</v>
      </c>
      <c r="L32" t="s">
        <v>101</v>
      </c>
      <c r="M32" t="s">
        <v>102</v>
      </c>
      <c r="N32" t="s">
        <v>233</v>
      </c>
      <c r="O32" t="s">
        <v>76</v>
      </c>
      <c r="P32" t="str">
        <f>"...                           "</f>
        <v xml:space="preserve">...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9.84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51.71</v>
      </c>
      <c r="BM32">
        <v>7.76</v>
      </c>
      <c r="BN32">
        <v>59.47</v>
      </c>
      <c r="BO32">
        <v>59.47</v>
      </c>
      <c r="BQ32" t="s">
        <v>308</v>
      </c>
      <c r="BR32" t="s">
        <v>267</v>
      </c>
      <c r="BS32" s="2">
        <v>44321</v>
      </c>
      <c r="BT32" s="3">
        <v>0.4375</v>
      </c>
      <c r="BU32" t="s">
        <v>210</v>
      </c>
      <c r="BV32" t="s">
        <v>77</v>
      </c>
      <c r="BY32">
        <v>1200</v>
      </c>
      <c r="BZ32" t="s">
        <v>84</v>
      </c>
      <c r="CA32" t="s">
        <v>122</v>
      </c>
      <c r="CC32" t="s">
        <v>102</v>
      </c>
      <c r="CD32">
        <v>7460</v>
      </c>
      <c r="CE32" t="s">
        <v>90</v>
      </c>
      <c r="CF32" s="2">
        <v>44322</v>
      </c>
      <c r="CI32">
        <v>1</v>
      </c>
      <c r="CJ32">
        <v>1</v>
      </c>
      <c r="CK32">
        <v>21</v>
      </c>
      <c r="CL32" t="s">
        <v>78</v>
      </c>
    </row>
    <row r="33" spans="1:90" x14ac:dyDescent="0.25">
      <c r="A33" t="s">
        <v>222</v>
      </c>
      <c r="B33" t="s">
        <v>223</v>
      </c>
      <c r="C33" t="s">
        <v>72</v>
      </c>
      <c r="E33" t="str">
        <f>"009938634389"</f>
        <v>009938634389</v>
      </c>
      <c r="F33" s="2">
        <v>44320</v>
      </c>
      <c r="G33">
        <v>202111</v>
      </c>
      <c r="H33" t="s">
        <v>94</v>
      </c>
      <c r="I33" t="s">
        <v>95</v>
      </c>
      <c r="J33" t="s">
        <v>242</v>
      </c>
      <c r="K33" t="s">
        <v>75</v>
      </c>
      <c r="L33" t="s">
        <v>101</v>
      </c>
      <c r="M33" t="s">
        <v>102</v>
      </c>
      <c r="N33" t="s">
        <v>233</v>
      </c>
      <c r="O33" t="s">
        <v>76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9.84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51.71</v>
      </c>
      <c r="BM33">
        <v>7.76</v>
      </c>
      <c r="BN33">
        <v>59.47</v>
      </c>
      <c r="BO33">
        <v>59.47</v>
      </c>
      <c r="BQ33" t="s">
        <v>234</v>
      </c>
      <c r="BR33" t="s">
        <v>290</v>
      </c>
      <c r="BS33" s="2">
        <v>44321</v>
      </c>
      <c r="BT33" s="3">
        <v>0.4375</v>
      </c>
      <c r="BU33" t="s">
        <v>210</v>
      </c>
      <c r="BV33" t="s">
        <v>77</v>
      </c>
      <c r="BY33">
        <v>1200</v>
      </c>
      <c r="BZ33" t="s">
        <v>84</v>
      </c>
      <c r="CA33" t="s">
        <v>122</v>
      </c>
      <c r="CC33" t="s">
        <v>102</v>
      </c>
      <c r="CD33">
        <v>8000</v>
      </c>
      <c r="CE33" t="s">
        <v>90</v>
      </c>
      <c r="CF33" s="2">
        <v>44322</v>
      </c>
      <c r="CI33">
        <v>1</v>
      </c>
      <c r="CJ33">
        <v>1</v>
      </c>
      <c r="CK33">
        <v>21</v>
      </c>
      <c r="CL33" t="s">
        <v>78</v>
      </c>
    </row>
    <row r="34" spans="1:90" x14ac:dyDescent="0.25">
      <c r="A34" t="s">
        <v>222</v>
      </c>
      <c r="B34" t="s">
        <v>223</v>
      </c>
      <c r="C34" t="s">
        <v>72</v>
      </c>
      <c r="E34" t="str">
        <f>"009940641824"</f>
        <v>009940641824</v>
      </c>
      <c r="F34" s="2">
        <v>44319</v>
      </c>
      <c r="G34">
        <v>202111</v>
      </c>
      <c r="H34" t="s">
        <v>101</v>
      </c>
      <c r="I34" t="s">
        <v>102</v>
      </c>
      <c r="J34" t="s">
        <v>236</v>
      </c>
      <c r="K34" t="s">
        <v>75</v>
      </c>
      <c r="L34" t="s">
        <v>101</v>
      </c>
      <c r="M34" t="s">
        <v>102</v>
      </c>
      <c r="N34" t="s">
        <v>309</v>
      </c>
      <c r="O34" t="s">
        <v>76</v>
      </c>
      <c r="P34" t="str">
        <f>"CPT                           "</f>
        <v xml:space="preserve">CPT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8.61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7.8</v>
      </c>
      <c r="BJ34">
        <v>8.9</v>
      </c>
      <c r="BK34">
        <v>9</v>
      </c>
      <c r="BL34">
        <v>45.24</v>
      </c>
      <c r="BM34">
        <v>6.79</v>
      </c>
      <c r="BN34">
        <v>52.03</v>
      </c>
      <c r="BO34">
        <v>52.03</v>
      </c>
      <c r="BQ34" t="s">
        <v>310</v>
      </c>
      <c r="BR34" t="s">
        <v>311</v>
      </c>
      <c r="BS34" s="2">
        <v>44320</v>
      </c>
      <c r="BT34" s="3">
        <v>0.43541666666666662</v>
      </c>
      <c r="BU34" t="s">
        <v>312</v>
      </c>
      <c r="BV34" t="s">
        <v>77</v>
      </c>
      <c r="BY34">
        <v>44594.879999999997</v>
      </c>
      <c r="BZ34" t="s">
        <v>84</v>
      </c>
      <c r="CA34" t="s">
        <v>114</v>
      </c>
      <c r="CC34" t="s">
        <v>102</v>
      </c>
      <c r="CD34">
        <v>7505</v>
      </c>
      <c r="CE34" t="s">
        <v>90</v>
      </c>
      <c r="CF34" s="2">
        <v>44321</v>
      </c>
      <c r="CI34">
        <v>1</v>
      </c>
      <c r="CJ34">
        <v>1</v>
      </c>
      <c r="CK34">
        <v>22</v>
      </c>
      <c r="CL34" t="s">
        <v>78</v>
      </c>
    </row>
    <row r="35" spans="1:90" x14ac:dyDescent="0.25">
      <c r="A35" t="s">
        <v>222</v>
      </c>
      <c r="B35" t="s">
        <v>223</v>
      </c>
      <c r="C35" t="s">
        <v>72</v>
      </c>
      <c r="E35" t="str">
        <f>"080010106263"</f>
        <v>080010106263</v>
      </c>
      <c r="F35" s="2">
        <v>44321</v>
      </c>
      <c r="G35">
        <v>202111</v>
      </c>
      <c r="H35" t="s">
        <v>98</v>
      </c>
      <c r="I35" t="s">
        <v>99</v>
      </c>
      <c r="J35" t="s">
        <v>313</v>
      </c>
      <c r="K35" t="s">
        <v>75</v>
      </c>
      <c r="L35" t="s">
        <v>108</v>
      </c>
      <c r="M35" t="s">
        <v>109</v>
      </c>
      <c r="N35" t="s">
        <v>314</v>
      </c>
      <c r="O35" t="s">
        <v>76</v>
      </c>
      <c r="P35" t="str">
        <f>"Return by Susan Adams         "</f>
        <v xml:space="preserve">Return by Susan Adams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9.42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1.6</v>
      </c>
      <c r="BK35">
        <v>2</v>
      </c>
      <c r="BL35">
        <v>51.29</v>
      </c>
      <c r="BM35">
        <v>7.69</v>
      </c>
      <c r="BN35">
        <v>58.98</v>
      </c>
      <c r="BO35">
        <v>58.98</v>
      </c>
      <c r="BP35" t="s">
        <v>83</v>
      </c>
      <c r="BQ35" t="s">
        <v>315</v>
      </c>
      <c r="BR35" t="s">
        <v>316</v>
      </c>
      <c r="BS35" s="2">
        <v>44322</v>
      </c>
      <c r="BT35" s="3">
        <v>0.41805555555555557</v>
      </c>
      <c r="BU35" t="s">
        <v>317</v>
      </c>
      <c r="BV35" t="s">
        <v>77</v>
      </c>
      <c r="BY35">
        <v>8151</v>
      </c>
      <c r="BZ35" t="s">
        <v>84</v>
      </c>
      <c r="CA35" t="s">
        <v>318</v>
      </c>
      <c r="CC35" t="s">
        <v>109</v>
      </c>
      <c r="CD35">
        <v>2158</v>
      </c>
      <c r="CE35" t="s">
        <v>319</v>
      </c>
      <c r="CF35" s="2">
        <v>44323</v>
      </c>
      <c r="CI35">
        <v>1</v>
      </c>
      <c r="CJ35">
        <v>1</v>
      </c>
      <c r="CK35">
        <v>21</v>
      </c>
      <c r="CL35" t="s">
        <v>78</v>
      </c>
    </row>
    <row r="36" spans="1:90" x14ac:dyDescent="0.25">
      <c r="A36" t="s">
        <v>222</v>
      </c>
      <c r="B36" t="s">
        <v>223</v>
      </c>
      <c r="C36" t="s">
        <v>72</v>
      </c>
      <c r="E36" t="str">
        <f>"009939975342"</f>
        <v>009939975342</v>
      </c>
      <c r="F36" s="2">
        <v>44321</v>
      </c>
      <c r="G36">
        <v>202111</v>
      </c>
      <c r="H36" t="s">
        <v>79</v>
      </c>
      <c r="I36" t="s">
        <v>80</v>
      </c>
      <c r="J36" t="s">
        <v>320</v>
      </c>
      <c r="K36" t="s">
        <v>75</v>
      </c>
      <c r="L36" t="s">
        <v>81</v>
      </c>
      <c r="M36" t="s">
        <v>82</v>
      </c>
      <c r="N36" t="s">
        <v>286</v>
      </c>
      <c r="O36" t="s">
        <v>76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9.42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0.3</v>
      </c>
      <c r="BK36">
        <v>1</v>
      </c>
      <c r="BL36">
        <v>51.29</v>
      </c>
      <c r="BM36">
        <v>7.69</v>
      </c>
      <c r="BN36">
        <v>58.98</v>
      </c>
      <c r="BO36">
        <v>58.98</v>
      </c>
      <c r="BQ36" t="s">
        <v>321</v>
      </c>
      <c r="BR36" t="s">
        <v>322</v>
      </c>
      <c r="BS36" s="2">
        <v>44322</v>
      </c>
      <c r="BT36" s="3">
        <v>0.42708333333333331</v>
      </c>
      <c r="BU36" t="s">
        <v>323</v>
      </c>
      <c r="BV36" t="s">
        <v>77</v>
      </c>
      <c r="BY36">
        <v>1710</v>
      </c>
      <c r="BZ36" t="s">
        <v>84</v>
      </c>
      <c r="CA36" t="s">
        <v>123</v>
      </c>
      <c r="CC36" t="s">
        <v>82</v>
      </c>
      <c r="CD36">
        <v>6000</v>
      </c>
      <c r="CE36" t="s">
        <v>90</v>
      </c>
      <c r="CF36" s="2">
        <v>44322</v>
      </c>
      <c r="CI36">
        <v>1</v>
      </c>
      <c r="CJ36">
        <v>1</v>
      </c>
      <c r="CK36">
        <v>21</v>
      </c>
      <c r="CL36" t="s">
        <v>78</v>
      </c>
    </row>
    <row r="37" spans="1:90" x14ac:dyDescent="0.25">
      <c r="A37" t="s">
        <v>222</v>
      </c>
      <c r="B37" t="s">
        <v>223</v>
      </c>
      <c r="C37" t="s">
        <v>72</v>
      </c>
      <c r="E37" t="str">
        <f>"009939975341"</f>
        <v>009939975341</v>
      </c>
      <c r="F37" s="2">
        <v>44322</v>
      </c>
      <c r="G37">
        <v>202111</v>
      </c>
      <c r="H37" t="s">
        <v>79</v>
      </c>
      <c r="I37" t="s">
        <v>80</v>
      </c>
      <c r="J37" t="s">
        <v>242</v>
      </c>
      <c r="K37" t="s">
        <v>75</v>
      </c>
      <c r="L37" t="s">
        <v>81</v>
      </c>
      <c r="M37" t="s">
        <v>82</v>
      </c>
      <c r="N37" t="s">
        <v>286</v>
      </c>
      <c r="O37" t="s">
        <v>76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9.42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0.3</v>
      </c>
      <c r="BK37">
        <v>1</v>
      </c>
      <c r="BL37">
        <v>51.29</v>
      </c>
      <c r="BM37">
        <v>7.69</v>
      </c>
      <c r="BN37">
        <v>58.98</v>
      </c>
      <c r="BO37">
        <v>58.98</v>
      </c>
      <c r="BQ37" t="s">
        <v>270</v>
      </c>
      <c r="BR37" t="s">
        <v>322</v>
      </c>
      <c r="BS37" s="2">
        <v>44323</v>
      </c>
      <c r="BT37" s="3">
        <v>0.40347222222222223</v>
      </c>
      <c r="BU37" t="s">
        <v>323</v>
      </c>
      <c r="BV37" t="s">
        <v>77</v>
      </c>
      <c r="BY37">
        <v>1710</v>
      </c>
      <c r="BZ37" t="s">
        <v>84</v>
      </c>
      <c r="CA37" t="s">
        <v>123</v>
      </c>
      <c r="CC37" t="s">
        <v>82</v>
      </c>
      <c r="CD37">
        <v>6000</v>
      </c>
      <c r="CE37" t="s">
        <v>90</v>
      </c>
      <c r="CF37" s="2">
        <v>44323</v>
      </c>
      <c r="CI37">
        <v>1</v>
      </c>
      <c r="CJ37">
        <v>1</v>
      </c>
      <c r="CK37">
        <v>21</v>
      </c>
      <c r="CL37" t="s">
        <v>78</v>
      </c>
    </row>
    <row r="38" spans="1:90" x14ac:dyDescent="0.25">
      <c r="A38" t="s">
        <v>222</v>
      </c>
      <c r="B38" t="s">
        <v>223</v>
      </c>
      <c r="C38" t="s">
        <v>72</v>
      </c>
      <c r="E38" t="str">
        <f>"009940912218"</f>
        <v>009940912218</v>
      </c>
      <c r="F38" s="2">
        <v>44322</v>
      </c>
      <c r="G38">
        <v>202111</v>
      </c>
      <c r="H38" t="s">
        <v>81</v>
      </c>
      <c r="I38" t="s">
        <v>82</v>
      </c>
      <c r="J38" t="s">
        <v>242</v>
      </c>
      <c r="K38" t="s">
        <v>75</v>
      </c>
      <c r="L38" t="s">
        <v>85</v>
      </c>
      <c r="M38" t="s">
        <v>86</v>
      </c>
      <c r="N38" t="s">
        <v>286</v>
      </c>
      <c r="O38" t="s">
        <v>76</v>
      </c>
      <c r="P38" t="str">
        <f>"11912270 FM                   "</f>
        <v xml:space="preserve">11912270 FM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9.42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1.2</v>
      </c>
      <c r="BK38">
        <v>2</v>
      </c>
      <c r="BL38">
        <v>51.29</v>
      </c>
      <c r="BM38">
        <v>7.69</v>
      </c>
      <c r="BN38">
        <v>58.98</v>
      </c>
      <c r="BO38">
        <v>58.98</v>
      </c>
      <c r="BQ38" t="s">
        <v>324</v>
      </c>
      <c r="BR38" t="s">
        <v>303</v>
      </c>
      <c r="BS38" s="2">
        <v>44323</v>
      </c>
      <c r="BT38" s="3">
        <v>0.35138888888888892</v>
      </c>
      <c r="BU38" t="s">
        <v>325</v>
      </c>
      <c r="BV38" t="s">
        <v>77</v>
      </c>
      <c r="BY38">
        <v>6000</v>
      </c>
      <c r="BZ38" t="s">
        <v>84</v>
      </c>
      <c r="CA38" t="s">
        <v>110</v>
      </c>
      <c r="CC38" t="s">
        <v>86</v>
      </c>
      <c r="CD38">
        <v>2021</v>
      </c>
      <c r="CE38" t="s">
        <v>90</v>
      </c>
      <c r="CF38" s="2">
        <v>44323</v>
      </c>
      <c r="CI38">
        <v>1</v>
      </c>
      <c r="CJ38">
        <v>1</v>
      </c>
      <c r="CK38">
        <v>21</v>
      </c>
      <c r="CL38" t="s">
        <v>78</v>
      </c>
    </row>
    <row r="39" spans="1:90" x14ac:dyDescent="0.25">
      <c r="A39" t="s">
        <v>222</v>
      </c>
      <c r="B39" t="s">
        <v>223</v>
      </c>
      <c r="C39" t="s">
        <v>72</v>
      </c>
      <c r="E39" t="str">
        <f>"009941561597"</f>
        <v>009941561597</v>
      </c>
      <c r="F39" s="2">
        <v>44323</v>
      </c>
      <c r="G39">
        <v>202111</v>
      </c>
      <c r="H39" t="s">
        <v>85</v>
      </c>
      <c r="I39" t="s">
        <v>86</v>
      </c>
      <c r="J39" t="s">
        <v>326</v>
      </c>
      <c r="K39" t="s">
        <v>75</v>
      </c>
      <c r="L39" t="s">
        <v>96</v>
      </c>
      <c r="M39" t="s">
        <v>97</v>
      </c>
      <c r="N39" t="s">
        <v>192</v>
      </c>
      <c r="O39" t="s">
        <v>76</v>
      </c>
      <c r="P39" t="str">
        <f>"JNX2105460996                 "</f>
        <v xml:space="preserve">JNX2105460996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9.42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0.4</v>
      </c>
      <c r="BK39">
        <v>0.5</v>
      </c>
      <c r="BL39">
        <v>51.29</v>
      </c>
      <c r="BM39">
        <v>7.69</v>
      </c>
      <c r="BN39">
        <v>58.98</v>
      </c>
      <c r="BO39">
        <v>58.98</v>
      </c>
      <c r="BQ39" t="s">
        <v>327</v>
      </c>
      <c r="BR39" t="s">
        <v>193</v>
      </c>
      <c r="BS39" s="2">
        <v>44328</v>
      </c>
      <c r="BT39" s="3">
        <v>0.40138888888888885</v>
      </c>
      <c r="BU39" t="s">
        <v>328</v>
      </c>
      <c r="BV39" t="s">
        <v>78</v>
      </c>
      <c r="BW39" t="s">
        <v>111</v>
      </c>
      <c r="BX39" t="s">
        <v>162</v>
      </c>
      <c r="BY39">
        <v>1995.55</v>
      </c>
      <c r="BZ39" t="s">
        <v>84</v>
      </c>
      <c r="CC39" t="s">
        <v>97</v>
      </c>
      <c r="CD39">
        <v>4000</v>
      </c>
      <c r="CE39" t="s">
        <v>90</v>
      </c>
      <c r="CF39" s="2">
        <v>44328</v>
      </c>
      <c r="CI39">
        <v>1</v>
      </c>
      <c r="CJ39">
        <v>3</v>
      </c>
      <c r="CK39">
        <v>21</v>
      </c>
      <c r="CL39" t="s">
        <v>78</v>
      </c>
    </row>
    <row r="40" spans="1:90" x14ac:dyDescent="0.25">
      <c r="A40" t="s">
        <v>222</v>
      </c>
      <c r="B40" t="s">
        <v>223</v>
      </c>
      <c r="C40" t="s">
        <v>72</v>
      </c>
      <c r="E40" t="str">
        <f>"080010110433"</f>
        <v>080010110433</v>
      </c>
      <c r="F40" s="2">
        <v>44324</v>
      </c>
      <c r="G40">
        <v>202111</v>
      </c>
      <c r="H40" t="s">
        <v>91</v>
      </c>
      <c r="I40" t="s">
        <v>92</v>
      </c>
      <c r="J40" t="s">
        <v>329</v>
      </c>
      <c r="K40" t="s">
        <v>75</v>
      </c>
      <c r="L40" t="s">
        <v>81</v>
      </c>
      <c r="M40" t="s">
        <v>82</v>
      </c>
      <c r="N40" t="s">
        <v>330</v>
      </c>
      <c r="O40" t="s">
        <v>76</v>
      </c>
      <c r="P40" t="str">
        <f>"-                             "</f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155.34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16.7</v>
      </c>
      <c r="BJ40">
        <v>32.6</v>
      </c>
      <c r="BK40">
        <v>33</v>
      </c>
      <c r="BL40">
        <v>845.73</v>
      </c>
      <c r="BM40">
        <v>126.86</v>
      </c>
      <c r="BN40">
        <v>972.59</v>
      </c>
      <c r="BO40">
        <v>972.59</v>
      </c>
      <c r="BP40" t="s">
        <v>83</v>
      </c>
      <c r="BQ40" t="s">
        <v>258</v>
      </c>
      <c r="BR40" t="s">
        <v>214</v>
      </c>
      <c r="BS40" s="2">
        <v>44326</v>
      </c>
      <c r="BT40" s="3">
        <v>0.43541666666666662</v>
      </c>
      <c r="BU40" t="s">
        <v>331</v>
      </c>
      <c r="BV40" t="s">
        <v>77</v>
      </c>
      <c r="BY40">
        <v>162798.65</v>
      </c>
      <c r="CA40" t="s">
        <v>332</v>
      </c>
      <c r="CC40" t="s">
        <v>82</v>
      </c>
      <c r="CD40">
        <v>6001</v>
      </c>
      <c r="CE40" t="s">
        <v>333</v>
      </c>
      <c r="CF40" s="2">
        <v>44326</v>
      </c>
      <c r="CI40">
        <v>1</v>
      </c>
      <c r="CJ40">
        <v>1</v>
      </c>
      <c r="CK40">
        <v>21</v>
      </c>
      <c r="CL40" t="s">
        <v>78</v>
      </c>
    </row>
    <row r="41" spans="1:90" x14ac:dyDescent="0.25">
      <c r="A41" t="s">
        <v>222</v>
      </c>
      <c r="B41" t="s">
        <v>223</v>
      </c>
      <c r="C41" t="s">
        <v>72</v>
      </c>
      <c r="E41" t="str">
        <f>"009940912254"</f>
        <v>009940912254</v>
      </c>
      <c r="F41" s="2">
        <v>44323</v>
      </c>
      <c r="G41">
        <v>202111</v>
      </c>
      <c r="H41" t="s">
        <v>81</v>
      </c>
      <c r="I41" t="s">
        <v>82</v>
      </c>
      <c r="J41" t="s">
        <v>242</v>
      </c>
      <c r="K41" t="s">
        <v>75</v>
      </c>
      <c r="L41" t="s">
        <v>73</v>
      </c>
      <c r="M41" t="s">
        <v>74</v>
      </c>
      <c r="N41" t="s">
        <v>334</v>
      </c>
      <c r="O41" t="s">
        <v>76</v>
      </c>
      <c r="P41" t="str">
        <f>"11982270FN                    "</f>
        <v xml:space="preserve">11982270FN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9.42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51.29</v>
      </c>
      <c r="BM41">
        <v>7.69</v>
      </c>
      <c r="BN41">
        <v>58.98</v>
      </c>
      <c r="BO41">
        <v>58.98</v>
      </c>
      <c r="BQ41" t="s">
        <v>335</v>
      </c>
      <c r="BR41" t="s">
        <v>303</v>
      </c>
      <c r="BS41" s="2">
        <v>44326</v>
      </c>
      <c r="BT41" s="3">
        <v>0.33124999999999999</v>
      </c>
      <c r="BU41" t="s">
        <v>336</v>
      </c>
      <c r="BV41" t="s">
        <v>77</v>
      </c>
      <c r="BY41">
        <v>1200</v>
      </c>
      <c r="BZ41" t="s">
        <v>84</v>
      </c>
      <c r="CA41" t="s">
        <v>105</v>
      </c>
      <c r="CC41" t="s">
        <v>74</v>
      </c>
      <c r="CD41">
        <v>1600</v>
      </c>
      <c r="CE41" t="s">
        <v>90</v>
      </c>
      <c r="CF41" s="2">
        <v>44326</v>
      </c>
      <c r="CI41">
        <v>1</v>
      </c>
      <c r="CJ41">
        <v>1</v>
      </c>
      <c r="CK41">
        <v>21</v>
      </c>
      <c r="CL41" t="s">
        <v>78</v>
      </c>
    </row>
    <row r="42" spans="1:90" x14ac:dyDescent="0.25">
      <c r="A42" t="s">
        <v>222</v>
      </c>
      <c r="B42" t="s">
        <v>223</v>
      </c>
      <c r="C42" t="s">
        <v>72</v>
      </c>
      <c r="E42" t="str">
        <f>"009940041007"</f>
        <v>009940041007</v>
      </c>
      <c r="F42" s="2">
        <v>44323</v>
      </c>
      <c r="G42">
        <v>202111</v>
      </c>
      <c r="H42" t="s">
        <v>212</v>
      </c>
      <c r="I42" t="s">
        <v>213</v>
      </c>
      <c r="J42" t="s">
        <v>337</v>
      </c>
      <c r="K42" t="s">
        <v>75</v>
      </c>
      <c r="L42" t="s">
        <v>73</v>
      </c>
      <c r="M42" t="s">
        <v>74</v>
      </c>
      <c r="N42" t="s">
        <v>225</v>
      </c>
      <c r="O42" t="s">
        <v>130</v>
      </c>
      <c r="P42" t="str">
        <f>"....                          "</f>
        <v xml:space="preserve">....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17.66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101.16</v>
      </c>
      <c r="BM42">
        <v>15.17</v>
      </c>
      <c r="BN42">
        <v>116.33</v>
      </c>
      <c r="BO42">
        <v>116.33</v>
      </c>
      <c r="BQ42" t="s">
        <v>338</v>
      </c>
      <c r="BR42" t="s">
        <v>339</v>
      </c>
      <c r="BS42" s="2">
        <v>44326</v>
      </c>
      <c r="BT42" s="3">
        <v>0.32708333333333334</v>
      </c>
      <c r="BU42" t="s">
        <v>336</v>
      </c>
      <c r="BV42" t="s">
        <v>77</v>
      </c>
      <c r="BY42">
        <v>1200</v>
      </c>
      <c r="CA42" t="s">
        <v>105</v>
      </c>
      <c r="CC42" t="s">
        <v>74</v>
      </c>
      <c r="CD42">
        <v>1601</v>
      </c>
      <c r="CE42" t="s">
        <v>90</v>
      </c>
      <c r="CF42" s="2">
        <v>44326</v>
      </c>
      <c r="CI42">
        <v>1</v>
      </c>
      <c r="CJ42">
        <v>1</v>
      </c>
      <c r="CK42" t="s">
        <v>152</v>
      </c>
      <c r="CL42" t="s">
        <v>78</v>
      </c>
    </row>
    <row r="43" spans="1:90" x14ac:dyDescent="0.25">
      <c r="A43" t="s">
        <v>222</v>
      </c>
      <c r="B43" t="s">
        <v>223</v>
      </c>
      <c r="C43" t="s">
        <v>72</v>
      </c>
      <c r="E43" t="str">
        <f>"009941067021"</f>
        <v>009941067021</v>
      </c>
      <c r="F43" s="2">
        <v>44322</v>
      </c>
      <c r="G43">
        <v>202111</v>
      </c>
      <c r="H43" t="s">
        <v>73</v>
      </c>
      <c r="I43" t="s">
        <v>74</v>
      </c>
      <c r="J43" t="s">
        <v>340</v>
      </c>
      <c r="K43" t="s">
        <v>75</v>
      </c>
      <c r="L43" t="s">
        <v>249</v>
      </c>
      <c r="M43" t="s">
        <v>249</v>
      </c>
      <c r="N43" t="s">
        <v>341</v>
      </c>
      <c r="O43" t="s">
        <v>130</v>
      </c>
      <c r="P43" t="str">
        <f>"...                           "</f>
        <v xml:space="preserve">...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44.64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30.6</v>
      </c>
      <c r="BJ43">
        <v>23.4</v>
      </c>
      <c r="BK43">
        <v>31</v>
      </c>
      <c r="BL43">
        <v>248.02</v>
      </c>
      <c r="BM43">
        <v>37.200000000000003</v>
      </c>
      <c r="BN43">
        <v>285.22000000000003</v>
      </c>
      <c r="BO43">
        <v>285.22000000000003</v>
      </c>
      <c r="BQ43" t="s">
        <v>170</v>
      </c>
      <c r="BR43" t="s">
        <v>342</v>
      </c>
      <c r="BS43" s="2">
        <v>44323</v>
      </c>
      <c r="BT43" s="3">
        <v>0.67152777777777783</v>
      </c>
      <c r="BU43" t="s">
        <v>343</v>
      </c>
      <c r="BV43" t="s">
        <v>77</v>
      </c>
      <c r="BY43">
        <v>116781.22</v>
      </c>
      <c r="CA43" t="s">
        <v>344</v>
      </c>
      <c r="CC43" t="s">
        <v>249</v>
      </c>
      <c r="CD43">
        <v>6836</v>
      </c>
      <c r="CE43" t="s">
        <v>90</v>
      </c>
      <c r="CF43" s="2">
        <v>44328</v>
      </c>
      <c r="CI43">
        <v>3</v>
      </c>
      <c r="CJ43">
        <v>1</v>
      </c>
      <c r="CK43" t="s">
        <v>140</v>
      </c>
      <c r="CL43" t="s">
        <v>78</v>
      </c>
    </row>
    <row r="44" spans="1:90" x14ac:dyDescent="0.25">
      <c r="A44" t="s">
        <v>222</v>
      </c>
      <c r="B44" t="s">
        <v>223</v>
      </c>
      <c r="C44" t="s">
        <v>72</v>
      </c>
      <c r="E44" t="str">
        <f>"009940641822"</f>
        <v>009940641822</v>
      </c>
      <c r="F44" s="2">
        <v>44322</v>
      </c>
      <c r="G44">
        <v>202111</v>
      </c>
      <c r="H44" t="s">
        <v>101</v>
      </c>
      <c r="I44" t="s">
        <v>102</v>
      </c>
      <c r="J44" t="s">
        <v>236</v>
      </c>
      <c r="K44" t="s">
        <v>75</v>
      </c>
      <c r="L44" t="s">
        <v>85</v>
      </c>
      <c r="M44" t="s">
        <v>86</v>
      </c>
      <c r="N44" t="s">
        <v>345</v>
      </c>
      <c r="O44" t="s">
        <v>130</v>
      </c>
      <c r="P44" t="str">
        <f>"JHB                           "</f>
        <v xml:space="preserve">JHB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19.28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2.1</v>
      </c>
      <c r="BJ44">
        <v>3.8</v>
      </c>
      <c r="BK44">
        <v>4</v>
      </c>
      <c r="BL44">
        <v>109.99</v>
      </c>
      <c r="BM44">
        <v>16.5</v>
      </c>
      <c r="BN44">
        <v>126.49</v>
      </c>
      <c r="BO44">
        <v>126.49</v>
      </c>
      <c r="BQ44" t="s">
        <v>346</v>
      </c>
      <c r="BR44" t="s">
        <v>215</v>
      </c>
      <c r="BS44" s="2">
        <v>44327</v>
      </c>
      <c r="BT44" s="3">
        <v>0.5</v>
      </c>
      <c r="BU44" t="s">
        <v>220</v>
      </c>
      <c r="BV44" t="s">
        <v>78</v>
      </c>
      <c r="BW44" t="s">
        <v>125</v>
      </c>
      <c r="BX44" t="s">
        <v>93</v>
      </c>
      <c r="BY44">
        <v>18914.88</v>
      </c>
      <c r="CA44" t="s">
        <v>127</v>
      </c>
      <c r="CC44" t="s">
        <v>86</v>
      </c>
      <c r="CD44">
        <v>2000</v>
      </c>
      <c r="CE44" t="s">
        <v>90</v>
      </c>
      <c r="CF44" s="2">
        <v>44328</v>
      </c>
      <c r="CI44">
        <v>2</v>
      </c>
      <c r="CJ44">
        <v>3</v>
      </c>
      <c r="CK44" t="s">
        <v>134</v>
      </c>
      <c r="CL44" t="s">
        <v>78</v>
      </c>
    </row>
    <row r="45" spans="1:90" x14ac:dyDescent="0.25">
      <c r="A45" t="s">
        <v>222</v>
      </c>
      <c r="B45" t="s">
        <v>223</v>
      </c>
      <c r="C45" t="s">
        <v>72</v>
      </c>
      <c r="E45" t="str">
        <f>"009940857271"</f>
        <v>009940857271</v>
      </c>
      <c r="F45" s="2">
        <v>44322</v>
      </c>
      <c r="G45">
        <v>202111</v>
      </c>
      <c r="H45" t="s">
        <v>91</v>
      </c>
      <c r="I45" t="s">
        <v>92</v>
      </c>
      <c r="J45" t="s">
        <v>256</v>
      </c>
      <c r="K45" t="s">
        <v>75</v>
      </c>
      <c r="L45" t="s">
        <v>81</v>
      </c>
      <c r="M45" t="s">
        <v>82</v>
      </c>
      <c r="N45" t="s">
        <v>301</v>
      </c>
      <c r="O45" t="s">
        <v>130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26.72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16.7</v>
      </c>
      <c r="BJ45">
        <v>24</v>
      </c>
      <c r="BK45">
        <v>24</v>
      </c>
      <c r="BL45">
        <v>150.46</v>
      </c>
      <c r="BM45">
        <v>22.57</v>
      </c>
      <c r="BN45">
        <v>173.03</v>
      </c>
      <c r="BO45">
        <v>173.03</v>
      </c>
      <c r="BQ45" t="s">
        <v>218</v>
      </c>
      <c r="BR45" t="s">
        <v>347</v>
      </c>
      <c r="BS45" s="2">
        <v>44326</v>
      </c>
      <c r="BT45" s="3">
        <v>0.43541666666666662</v>
      </c>
      <c r="BU45" t="s">
        <v>331</v>
      </c>
      <c r="BV45" t="s">
        <v>77</v>
      </c>
      <c r="BY45">
        <v>120109.44</v>
      </c>
      <c r="CA45" t="s">
        <v>115</v>
      </c>
      <c r="CC45" t="s">
        <v>82</v>
      </c>
      <c r="CD45">
        <v>6001</v>
      </c>
      <c r="CE45" t="s">
        <v>90</v>
      </c>
      <c r="CF45" s="2">
        <v>44326</v>
      </c>
      <c r="CI45">
        <v>2</v>
      </c>
      <c r="CJ45">
        <v>2</v>
      </c>
      <c r="CK45" t="s">
        <v>134</v>
      </c>
      <c r="CL45" t="s">
        <v>78</v>
      </c>
    </row>
    <row r="46" spans="1:90" x14ac:dyDescent="0.25">
      <c r="A46" t="s">
        <v>222</v>
      </c>
      <c r="B46" t="s">
        <v>223</v>
      </c>
      <c r="C46" t="s">
        <v>72</v>
      </c>
      <c r="E46" t="str">
        <f>"009941233909"</f>
        <v>009941233909</v>
      </c>
      <c r="F46" s="2">
        <v>44321</v>
      </c>
      <c r="G46">
        <v>202111</v>
      </c>
      <c r="H46" t="s">
        <v>124</v>
      </c>
      <c r="I46" t="s">
        <v>124</v>
      </c>
      <c r="J46" t="s">
        <v>348</v>
      </c>
      <c r="K46" t="s">
        <v>75</v>
      </c>
      <c r="L46" t="s">
        <v>98</v>
      </c>
      <c r="M46" t="s">
        <v>99</v>
      </c>
      <c r="N46" t="s">
        <v>349</v>
      </c>
      <c r="O46" t="s">
        <v>130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19.28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8.3000000000000007</v>
      </c>
      <c r="BJ46">
        <v>6.5</v>
      </c>
      <c r="BK46">
        <v>9</v>
      </c>
      <c r="BL46">
        <v>109.99</v>
      </c>
      <c r="BM46">
        <v>16.5</v>
      </c>
      <c r="BN46">
        <v>126.49</v>
      </c>
      <c r="BO46">
        <v>126.49</v>
      </c>
      <c r="BR46" t="s">
        <v>106</v>
      </c>
      <c r="BS46" s="2">
        <v>44323</v>
      </c>
      <c r="BT46" s="3">
        <v>0.44861111111111113</v>
      </c>
      <c r="BU46" t="s">
        <v>350</v>
      </c>
      <c r="BV46" t="s">
        <v>77</v>
      </c>
      <c r="BY46">
        <v>32678.1</v>
      </c>
      <c r="CA46" t="s">
        <v>149</v>
      </c>
      <c r="CC46" t="s">
        <v>99</v>
      </c>
      <c r="CD46">
        <v>3201</v>
      </c>
      <c r="CE46" t="s">
        <v>90</v>
      </c>
      <c r="CF46" s="2">
        <v>44323</v>
      </c>
      <c r="CI46">
        <v>3</v>
      </c>
      <c r="CJ46">
        <v>2</v>
      </c>
      <c r="CK46" t="s">
        <v>134</v>
      </c>
      <c r="CL46" t="s">
        <v>78</v>
      </c>
    </row>
    <row r="47" spans="1:90" x14ac:dyDescent="0.25">
      <c r="A47" t="s">
        <v>222</v>
      </c>
      <c r="B47" t="s">
        <v>223</v>
      </c>
      <c r="C47" t="s">
        <v>72</v>
      </c>
      <c r="E47" t="str">
        <f>"009941233906"</f>
        <v>009941233906</v>
      </c>
      <c r="F47" s="2">
        <v>44321</v>
      </c>
      <c r="G47">
        <v>202111</v>
      </c>
      <c r="H47" t="s">
        <v>124</v>
      </c>
      <c r="I47" t="s">
        <v>124</v>
      </c>
      <c r="J47" t="s">
        <v>280</v>
      </c>
      <c r="K47" t="s">
        <v>75</v>
      </c>
      <c r="L47" t="s">
        <v>98</v>
      </c>
      <c r="M47" t="s">
        <v>99</v>
      </c>
      <c r="N47" t="s">
        <v>351</v>
      </c>
      <c r="O47" t="s">
        <v>130</v>
      </c>
      <c r="P47" t="str">
        <f>"JNB2105050010                 "</f>
        <v xml:space="preserve">JNB2105050010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19.28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5.6</v>
      </c>
      <c r="BJ47">
        <v>3.4</v>
      </c>
      <c r="BK47">
        <v>6</v>
      </c>
      <c r="BL47">
        <v>109.99</v>
      </c>
      <c r="BM47">
        <v>16.5</v>
      </c>
      <c r="BN47">
        <v>126.49</v>
      </c>
      <c r="BO47">
        <v>126.49</v>
      </c>
      <c r="BR47" t="s">
        <v>352</v>
      </c>
      <c r="BS47" s="2">
        <v>44323</v>
      </c>
      <c r="BT47" s="3">
        <v>0.40625</v>
      </c>
      <c r="BU47" t="s">
        <v>353</v>
      </c>
      <c r="BV47" t="s">
        <v>77</v>
      </c>
      <c r="BY47">
        <v>17134.32</v>
      </c>
      <c r="CA47" t="s">
        <v>100</v>
      </c>
      <c r="CC47" t="s">
        <v>99</v>
      </c>
      <c r="CD47">
        <v>3201</v>
      </c>
      <c r="CE47" t="s">
        <v>90</v>
      </c>
      <c r="CF47" s="2">
        <v>44323</v>
      </c>
      <c r="CI47">
        <v>3</v>
      </c>
      <c r="CJ47">
        <v>2</v>
      </c>
      <c r="CK47" t="s">
        <v>134</v>
      </c>
      <c r="CL47" t="s">
        <v>78</v>
      </c>
    </row>
    <row r="48" spans="1:90" x14ac:dyDescent="0.25">
      <c r="A48" t="s">
        <v>222</v>
      </c>
      <c r="B48" t="s">
        <v>223</v>
      </c>
      <c r="C48" t="s">
        <v>72</v>
      </c>
      <c r="E48" t="str">
        <f>"009940641823"</f>
        <v>009940641823</v>
      </c>
      <c r="F48" s="2">
        <v>44322</v>
      </c>
      <c r="G48">
        <v>202111</v>
      </c>
      <c r="H48" t="s">
        <v>101</v>
      </c>
      <c r="I48" t="s">
        <v>102</v>
      </c>
      <c r="J48" t="s">
        <v>236</v>
      </c>
      <c r="K48" t="s">
        <v>75</v>
      </c>
      <c r="L48" t="s">
        <v>87</v>
      </c>
      <c r="M48" t="s">
        <v>88</v>
      </c>
      <c r="N48" t="s">
        <v>354</v>
      </c>
      <c r="O48" t="s">
        <v>130</v>
      </c>
      <c r="P48" t="str">
        <f>"DURBAN                        "</f>
        <v xml:space="preserve">DURBAN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19.28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</v>
      </c>
      <c r="BK48">
        <v>2</v>
      </c>
      <c r="BL48">
        <v>109.99</v>
      </c>
      <c r="BM48">
        <v>16.5</v>
      </c>
      <c r="BN48">
        <v>126.49</v>
      </c>
      <c r="BO48">
        <v>126.49</v>
      </c>
      <c r="BQ48" t="s">
        <v>355</v>
      </c>
      <c r="BR48" t="s">
        <v>311</v>
      </c>
      <c r="BS48" s="2">
        <v>44328</v>
      </c>
      <c r="BT48" s="3">
        <v>0.4291666666666667</v>
      </c>
      <c r="BU48" t="s">
        <v>356</v>
      </c>
      <c r="BV48" t="s">
        <v>77</v>
      </c>
      <c r="BY48">
        <v>9835.6</v>
      </c>
      <c r="CA48" t="s">
        <v>89</v>
      </c>
      <c r="CC48" t="s">
        <v>88</v>
      </c>
      <c r="CD48">
        <v>4300</v>
      </c>
      <c r="CE48" t="s">
        <v>90</v>
      </c>
      <c r="CF48" s="2">
        <v>44328</v>
      </c>
      <c r="CI48">
        <v>2</v>
      </c>
      <c r="CJ48">
        <v>2</v>
      </c>
      <c r="CK48" t="s">
        <v>134</v>
      </c>
      <c r="CL48" t="s">
        <v>78</v>
      </c>
    </row>
    <row r="49" spans="1:90" x14ac:dyDescent="0.25">
      <c r="A49" t="s">
        <v>222</v>
      </c>
      <c r="B49" t="s">
        <v>223</v>
      </c>
      <c r="C49" t="s">
        <v>72</v>
      </c>
      <c r="E49" t="str">
        <f>"009940641837"</f>
        <v>009940641837</v>
      </c>
      <c r="F49" s="2">
        <v>44323</v>
      </c>
      <c r="G49">
        <v>202111</v>
      </c>
      <c r="H49" t="s">
        <v>101</v>
      </c>
      <c r="I49" t="s">
        <v>102</v>
      </c>
      <c r="J49" t="s">
        <v>236</v>
      </c>
      <c r="K49" t="s">
        <v>75</v>
      </c>
      <c r="L49" t="s">
        <v>153</v>
      </c>
      <c r="M49" t="s">
        <v>102</v>
      </c>
      <c r="N49" t="s">
        <v>357</v>
      </c>
      <c r="O49" t="s">
        <v>130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13.25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0.8</v>
      </c>
      <c r="BK49">
        <v>1</v>
      </c>
      <c r="BL49">
        <v>77.13</v>
      </c>
      <c r="BM49">
        <v>11.57</v>
      </c>
      <c r="BN49">
        <v>88.7</v>
      </c>
      <c r="BO49">
        <v>88.7</v>
      </c>
      <c r="BQ49" t="s">
        <v>358</v>
      </c>
      <c r="BR49" t="s">
        <v>311</v>
      </c>
      <c r="BS49" s="2">
        <v>44326</v>
      </c>
      <c r="BT49" s="3">
        <v>0.70347222222222217</v>
      </c>
      <c r="BU49" t="s">
        <v>359</v>
      </c>
      <c r="BV49" t="s">
        <v>77</v>
      </c>
      <c r="BY49">
        <v>3804.64</v>
      </c>
      <c r="CA49" t="s">
        <v>195</v>
      </c>
      <c r="CC49" t="s">
        <v>102</v>
      </c>
      <c r="CD49">
        <v>7700</v>
      </c>
      <c r="CE49" t="s">
        <v>90</v>
      </c>
      <c r="CF49" s="2">
        <v>44327</v>
      </c>
      <c r="CI49">
        <v>1</v>
      </c>
      <c r="CJ49">
        <v>1</v>
      </c>
      <c r="CK49" t="s">
        <v>131</v>
      </c>
      <c r="CL49" t="s">
        <v>78</v>
      </c>
    </row>
    <row r="50" spans="1:90" x14ac:dyDescent="0.25">
      <c r="A50" t="s">
        <v>222</v>
      </c>
      <c r="B50" t="s">
        <v>223</v>
      </c>
      <c r="C50" t="s">
        <v>72</v>
      </c>
      <c r="E50" t="str">
        <f>"009941233908"</f>
        <v>009941233908</v>
      </c>
      <c r="F50" s="2">
        <v>44321</v>
      </c>
      <c r="G50">
        <v>202111</v>
      </c>
      <c r="H50" t="s">
        <v>124</v>
      </c>
      <c r="I50" t="s">
        <v>124</v>
      </c>
      <c r="J50" t="s">
        <v>280</v>
      </c>
      <c r="K50" t="s">
        <v>75</v>
      </c>
      <c r="L50" t="s">
        <v>85</v>
      </c>
      <c r="M50" t="s">
        <v>86</v>
      </c>
      <c r="N50" t="s">
        <v>360</v>
      </c>
      <c r="O50" t="s">
        <v>130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19.28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5.3</v>
      </c>
      <c r="BJ50">
        <v>3.3</v>
      </c>
      <c r="BK50">
        <v>6</v>
      </c>
      <c r="BL50">
        <v>109.99</v>
      </c>
      <c r="BM50">
        <v>16.5</v>
      </c>
      <c r="BN50">
        <v>126.49</v>
      </c>
      <c r="BO50">
        <v>126.49</v>
      </c>
      <c r="BQ50">
        <v>834495772</v>
      </c>
      <c r="BR50" t="s">
        <v>352</v>
      </c>
      <c r="BS50" s="2">
        <v>44323</v>
      </c>
      <c r="BT50" s="3">
        <v>0.3034722222222222</v>
      </c>
      <c r="BU50" t="s">
        <v>361</v>
      </c>
      <c r="BV50" t="s">
        <v>77</v>
      </c>
      <c r="BY50">
        <v>16363.62</v>
      </c>
      <c r="CA50" t="s">
        <v>216</v>
      </c>
      <c r="CC50" t="s">
        <v>86</v>
      </c>
      <c r="CD50">
        <v>2196</v>
      </c>
      <c r="CE50" t="s">
        <v>90</v>
      </c>
      <c r="CF50" s="2">
        <v>44324</v>
      </c>
      <c r="CI50">
        <v>2</v>
      </c>
      <c r="CJ50">
        <v>2</v>
      </c>
      <c r="CK50" t="s">
        <v>134</v>
      </c>
      <c r="CL50" t="s">
        <v>78</v>
      </c>
    </row>
    <row r="51" spans="1:90" x14ac:dyDescent="0.25">
      <c r="A51" t="s">
        <v>222</v>
      </c>
      <c r="B51" t="s">
        <v>223</v>
      </c>
      <c r="C51" t="s">
        <v>72</v>
      </c>
      <c r="E51" t="str">
        <f>"009940641838"</f>
        <v>009940641838</v>
      </c>
      <c r="F51" s="2">
        <v>44322</v>
      </c>
      <c r="G51">
        <v>202111</v>
      </c>
      <c r="H51" t="s">
        <v>101</v>
      </c>
      <c r="I51" t="s">
        <v>102</v>
      </c>
      <c r="J51" t="s">
        <v>236</v>
      </c>
      <c r="K51" t="s">
        <v>75</v>
      </c>
      <c r="L51" t="s">
        <v>81</v>
      </c>
      <c r="M51" t="s">
        <v>82</v>
      </c>
      <c r="N51" t="s">
        <v>362</v>
      </c>
      <c r="O51" t="s">
        <v>130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55.85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62.7</v>
      </c>
      <c r="BJ51">
        <v>58.5</v>
      </c>
      <c r="BK51">
        <v>63</v>
      </c>
      <c r="BL51">
        <v>309.08999999999997</v>
      </c>
      <c r="BM51">
        <v>46.36</v>
      </c>
      <c r="BN51">
        <v>355.45</v>
      </c>
      <c r="BO51">
        <v>355.45</v>
      </c>
      <c r="BQ51" t="s">
        <v>363</v>
      </c>
      <c r="BR51" t="s">
        <v>239</v>
      </c>
      <c r="BS51" s="2">
        <v>44326</v>
      </c>
      <c r="BT51" s="3">
        <v>0.3611111111111111</v>
      </c>
      <c r="BU51" t="s">
        <v>364</v>
      </c>
      <c r="BV51" t="s">
        <v>77</v>
      </c>
      <c r="BY51">
        <v>292588.95</v>
      </c>
      <c r="CA51" t="s">
        <v>115</v>
      </c>
      <c r="CC51" t="s">
        <v>82</v>
      </c>
      <c r="CD51">
        <v>6020</v>
      </c>
      <c r="CE51" t="s">
        <v>90</v>
      </c>
      <c r="CF51" s="2">
        <v>44326</v>
      </c>
      <c r="CI51">
        <v>2</v>
      </c>
      <c r="CJ51">
        <v>2</v>
      </c>
      <c r="CK51" t="s">
        <v>190</v>
      </c>
      <c r="CL51" t="s">
        <v>78</v>
      </c>
    </row>
    <row r="52" spans="1:90" x14ac:dyDescent="0.25">
      <c r="A52" t="s">
        <v>222</v>
      </c>
      <c r="B52" t="s">
        <v>223</v>
      </c>
      <c r="C52" t="s">
        <v>72</v>
      </c>
      <c r="E52" t="str">
        <f>"009941020939"</f>
        <v>009941020939</v>
      </c>
      <c r="F52" s="2">
        <v>44323</v>
      </c>
      <c r="G52">
        <v>202111</v>
      </c>
      <c r="H52" t="s">
        <v>81</v>
      </c>
      <c r="I52" t="s">
        <v>82</v>
      </c>
      <c r="J52" t="s">
        <v>236</v>
      </c>
      <c r="K52" t="s">
        <v>75</v>
      </c>
      <c r="L52" t="s">
        <v>91</v>
      </c>
      <c r="M52" t="s">
        <v>92</v>
      </c>
      <c r="N52" t="s">
        <v>365</v>
      </c>
      <c r="O52" t="s">
        <v>130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21.76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</v>
      </c>
      <c r="BJ52">
        <v>17.899999999999999</v>
      </c>
      <c r="BK52">
        <v>18</v>
      </c>
      <c r="BL52">
        <v>123.48</v>
      </c>
      <c r="BM52">
        <v>18.52</v>
      </c>
      <c r="BN52">
        <v>142</v>
      </c>
      <c r="BO52">
        <v>142</v>
      </c>
      <c r="BQ52" t="s">
        <v>366</v>
      </c>
      <c r="BR52" t="s">
        <v>258</v>
      </c>
      <c r="BS52" s="2">
        <v>44326</v>
      </c>
      <c r="BT52" s="3">
        <v>0.35833333333333334</v>
      </c>
      <c r="BU52" t="s">
        <v>367</v>
      </c>
      <c r="BV52" t="s">
        <v>77</v>
      </c>
      <c r="BY52">
        <v>89600</v>
      </c>
      <c r="CA52" t="s">
        <v>144</v>
      </c>
      <c r="CC52" t="s">
        <v>92</v>
      </c>
      <c r="CD52">
        <v>1682</v>
      </c>
      <c r="CE52" t="s">
        <v>90</v>
      </c>
      <c r="CF52" s="2">
        <v>44327</v>
      </c>
      <c r="CI52">
        <v>2</v>
      </c>
      <c r="CJ52">
        <v>1</v>
      </c>
      <c r="CK52" t="s">
        <v>134</v>
      </c>
      <c r="CL52" t="s">
        <v>78</v>
      </c>
    </row>
    <row r="53" spans="1:90" x14ac:dyDescent="0.25">
      <c r="A53" t="s">
        <v>222</v>
      </c>
      <c r="B53" t="s">
        <v>223</v>
      </c>
      <c r="C53" t="s">
        <v>72</v>
      </c>
      <c r="E53" t="str">
        <f>"009940641830"</f>
        <v>009940641830</v>
      </c>
      <c r="F53" s="2">
        <v>44320</v>
      </c>
      <c r="G53">
        <v>202111</v>
      </c>
      <c r="H53" t="s">
        <v>101</v>
      </c>
      <c r="I53" t="s">
        <v>102</v>
      </c>
      <c r="J53" t="s">
        <v>236</v>
      </c>
      <c r="K53" t="s">
        <v>75</v>
      </c>
      <c r="L53" t="s">
        <v>87</v>
      </c>
      <c r="M53" t="s">
        <v>88</v>
      </c>
      <c r="N53" t="s">
        <v>236</v>
      </c>
      <c r="O53" t="s">
        <v>130</v>
      </c>
      <c r="P53" t="str">
        <f>"DBN                           "</f>
        <v xml:space="preserve">DBN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20.14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1.3</v>
      </c>
      <c r="BJ53">
        <v>2.2000000000000002</v>
      </c>
      <c r="BK53">
        <v>3</v>
      </c>
      <c r="BL53">
        <v>110.85</v>
      </c>
      <c r="BM53">
        <v>16.63</v>
      </c>
      <c r="BN53">
        <v>127.48</v>
      </c>
      <c r="BO53">
        <v>127.48</v>
      </c>
      <c r="BQ53" t="s">
        <v>368</v>
      </c>
      <c r="BR53" t="s">
        <v>239</v>
      </c>
      <c r="BS53" s="2">
        <v>44322</v>
      </c>
      <c r="BT53" s="3">
        <v>0.36458333333333331</v>
      </c>
      <c r="BU53" t="s">
        <v>369</v>
      </c>
      <c r="BV53" t="s">
        <v>77</v>
      </c>
      <c r="BY53">
        <v>11030.63</v>
      </c>
      <c r="CA53" t="s">
        <v>89</v>
      </c>
      <c r="CC53" t="s">
        <v>88</v>
      </c>
      <c r="CD53">
        <v>4300</v>
      </c>
      <c r="CE53" t="s">
        <v>90</v>
      </c>
      <c r="CF53" s="2">
        <v>44322</v>
      </c>
      <c r="CI53">
        <v>2</v>
      </c>
      <c r="CJ53">
        <v>2</v>
      </c>
      <c r="CK53" t="s">
        <v>134</v>
      </c>
      <c r="CL53" t="s">
        <v>78</v>
      </c>
    </row>
    <row r="54" spans="1:90" x14ac:dyDescent="0.25">
      <c r="A54" t="s">
        <v>222</v>
      </c>
      <c r="B54" t="s">
        <v>223</v>
      </c>
      <c r="C54" t="s">
        <v>72</v>
      </c>
      <c r="E54" t="str">
        <f>"009940641840"</f>
        <v>009940641840</v>
      </c>
      <c r="F54" s="2">
        <v>44320</v>
      </c>
      <c r="G54">
        <v>202111</v>
      </c>
      <c r="H54" t="s">
        <v>101</v>
      </c>
      <c r="I54" t="s">
        <v>102</v>
      </c>
      <c r="J54" t="s">
        <v>236</v>
      </c>
      <c r="K54" t="s">
        <v>75</v>
      </c>
      <c r="L54" t="s">
        <v>81</v>
      </c>
      <c r="M54" t="s">
        <v>82</v>
      </c>
      <c r="N54" t="s">
        <v>370</v>
      </c>
      <c r="O54" t="s">
        <v>130</v>
      </c>
      <c r="P54" t="str">
        <f>"PE                            "</f>
        <v xml:space="preserve">PE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19.98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12.3</v>
      </c>
      <c r="BJ54">
        <v>13.4</v>
      </c>
      <c r="BK54">
        <v>14</v>
      </c>
      <c r="BL54">
        <v>110.02</v>
      </c>
      <c r="BM54">
        <v>16.5</v>
      </c>
      <c r="BN54">
        <v>126.52</v>
      </c>
      <c r="BO54">
        <v>126.52</v>
      </c>
      <c r="BQ54" t="s">
        <v>258</v>
      </c>
      <c r="BR54" t="s">
        <v>239</v>
      </c>
      <c r="BS54" s="2">
        <v>44322</v>
      </c>
      <c r="BT54" s="3">
        <v>0.38125000000000003</v>
      </c>
      <c r="BU54" t="s">
        <v>260</v>
      </c>
      <c r="BV54" t="s">
        <v>77</v>
      </c>
      <c r="BY54">
        <v>66944.45</v>
      </c>
      <c r="CA54" t="s">
        <v>115</v>
      </c>
      <c r="CC54" t="s">
        <v>82</v>
      </c>
      <c r="CD54">
        <v>6001</v>
      </c>
      <c r="CE54" t="s">
        <v>90</v>
      </c>
      <c r="CF54" s="2">
        <v>44322</v>
      </c>
      <c r="CI54">
        <v>2</v>
      </c>
      <c r="CJ54">
        <v>2</v>
      </c>
      <c r="CK54" t="s">
        <v>190</v>
      </c>
      <c r="CL54" t="s">
        <v>78</v>
      </c>
    </row>
    <row r="55" spans="1:90" x14ac:dyDescent="0.25">
      <c r="A55" t="s">
        <v>222</v>
      </c>
      <c r="B55" t="s">
        <v>223</v>
      </c>
      <c r="C55" t="s">
        <v>72</v>
      </c>
      <c r="E55" t="str">
        <f>"009939921463"</f>
        <v>009939921463</v>
      </c>
      <c r="F55" s="2">
        <v>44328</v>
      </c>
      <c r="G55">
        <v>202111</v>
      </c>
      <c r="H55" t="s">
        <v>199</v>
      </c>
      <c r="I55" t="s">
        <v>200</v>
      </c>
      <c r="J55" t="s">
        <v>232</v>
      </c>
      <c r="K55" t="s">
        <v>75</v>
      </c>
      <c r="L55" t="s">
        <v>153</v>
      </c>
      <c r="M55" t="s">
        <v>102</v>
      </c>
      <c r="N55" t="s">
        <v>371</v>
      </c>
      <c r="O55" t="s">
        <v>130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19.13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109.17</v>
      </c>
      <c r="BM55">
        <v>16.38</v>
      </c>
      <c r="BN55">
        <v>125.55</v>
      </c>
      <c r="BO55">
        <v>125.55</v>
      </c>
      <c r="BQ55" t="s">
        <v>234</v>
      </c>
      <c r="BS55" s="2">
        <v>44329</v>
      </c>
      <c r="BT55" s="3">
        <v>0.48194444444444445</v>
      </c>
      <c r="BU55" t="s">
        <v>372</v>
      </c>
      <c r="BV55" t="s">
        <v>77</v>
      </c>
      <c r="BY55">
        <v>1200</v>
      </c>
      <c r="CA55" t="s">
        <v>122</v>
      </c>
      <c r="CC55" t="s">
        <v>102</v>
      </c>
      <c r="CD55">
        <v>8000</v>
      </c>
      <c r="CE55" t="s">
        <v>90</v>
      </c>
      <c r="CF55" s="2">
        <v>44330</v>
      </c>
      <c r="CI55">
        <v>2</v>
      </c>
      <c r="CJ55">
        <v>1</v>
      </c>
      <c r="CK55" t="s">
        <v>190</v>
      </c>
      <c r="CL55" t="s">
        <v>78</v>
      </c>
    </row>
    <row r="56" spans="1:90" x14ac:dyDescent="0.25">
      <c r="A56" t="s">
        <v>222</v>
      </c>
      <c r="B56" t="s">
        <v>223</v>
      </c>
      <c r="C56" t="s">
        <v>72</v>
      </c>
      <c r="E56" t="str">
        <f>"009941061500"</f>
        <v>009941061500</v>
      </c>
      <c r="F56" s="2">
        <v>44329</v>
      </c>
      <c r="G56">
        <v>202111</v>
      </c>
      <c r="H56" t="s">
        <v>91</v>
      </c>
      <c r="I56" t="s">
        <v>92</v>
      </c>
      <c r="J56" t="s">
        <v>236</v>
      </c>
      <c r="K56" t="s">
        <v>75</v>
      </c>
      <c r="L56" t="s">
        <v>101</v>
      </c>
      <c r="M56" t="s">
        <v>102</v>
      </c>
      <c r="N56" t="s">
        <v>373</v>
      </c>
      <c r="O56" t="s">
        <v>133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22.08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1.2</v>
      </c>
      <c r="BJ56">
        <v>4.9000000000000004</v>
      </c>
      <c r="BK56">
        <v>5</v>
      </c>
      <c r="BL56">
        <v>120.21</v>
      </c>
      <c r="BM56">
        <v>18.03</v>
      </c>
      <c r="BN56">
        <v>138.24</v>
      </c>
      <c r="BO56">
        <v>138.24</v>
      </c>
      <c r="BQ56" t="s">
        <v>374</v>
      </c>
      <c r="BR56" t="s">
        <v>375</v>
      </c>
      <c r="BS56" s="2">
        <v>44330</v>
      </c>
      <c r="BT56" s="3">
        <v>0.41944444444444445</v>
      </c>
      <c r="BU56" t="s">
        <v>275</v>
      </c>
      <c r="BV56" t="s">
        <v>77</v>
      </c>
      <c r="BY56">
        <v>24577.66</v>
      </c>
      <c r="BZ56" t="s">
        <v>156</v>
      </c>
      <c r="CA56" t="s">
        <v>147</v>
      </c>
      <c r="CC56" t="s">
        <v>102</v>
      </c>
      <c r="CD56">
        <v>7800</v>
      </c>
      <c r="CE56" t="s">
        <v>90</v>
      </c>
      <c r="CF56" s="2">
        <v>44333</v>
      </c>
      <c r="CI56">
        <v>1</v>
      </c>
      <c r="CJ56">
        <v>1</v>
      </c>
      <c r="CK56">
        <v>31</v>
      </c>
      <c r="CL56" t="s">
        <v>78</v>
      </c>
    </row>
    <row r="57" spans="1:90" x14ac:dyDescent="0.25">
      <c r="A57" t="s">
        <v>222</v>
      </c>
      <c r="B57" t="s">
        <v>223</v>
      </c>
      <c r="C57" t="s">
        <v>72</v>
      </c>
      <c r="E57" t="str">
        <f>"009939975335"</f>
        <v>009939975335</v>
      </c>
      <c r="F57" s="2">
        <v>44329</v>
      </c>
      <c r="G57">
        <v>202111</v>
      </c>
      <c r="H57" t="s">
        <v>79</v>
      </c>
      <c r="I57" t="s">
        <v>80</v>
      </c>
      <c r="J57" t="s">
        <v>242</v>
      </c>
      <c r="K57" t="s">
        <v>75</v>
      </c>
      <c r="L57" t="s">
        <v>81</v>
      </c>
      <c r="M57" t="s">
        <v>82</v>
      </c>
      <c r="N57" t="s">
        <v>286</v>
      </c>
      <c r="O57" t="s">
        <v>133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17.66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0.3</v>
      </c>
      <c r="BK57">
        <v>1</v>
      </c>
      <c r="BL57">
        <v>96.16</v>
      </c>
      <c r="BM57">
        <v>14.42</v>
      </c>
      <c r="BN57">
        <v>110.58</v>
      </c>
      <c r="BO57">
        <v>110.58</v>
      </c>
      <c r="BQ57" t="s">
        <v>270</v>
      </c>
      <c r="BR57" t="s">
        <v>307</v>
      </c>
      <c r="BS57" s="2">
        <v>44330</v>
      </c>
      <c r="BT57" s="3">
        <v>0.50347222222222221</v>
      </c>
      <c r="BU57" t="s">
        <v>323</v>
      </c>
      <c r="BV57" t="s">
        <v>77</v>
      </c>
      <c r="BY57">
        <v>1710</v>
      </c>
      <c r="BZ57" t="s">
        <v>156</v>
      </c>
      <c r="CA57" t="s">
        <v>123</v>
      </c>
      <c r="CC57" t="s">
        <v>82</v>
      </c>
      <c r="CD57">
        <v>6000</v>
      </c>
      <c r="CE57" t="s">
        <v>90</v>
      </c>
      <c r="CF57" s="2">
        <v>44330</v>
      </c>
      <c r="CI57">
        <v>1</v>
      </c>
      <c r="CJ57">
        <v>1</v>
      </c>
      <c r="CK57">
        <v>31</v>
      </c>
      <c r="CL57" t="s">
        <v>78</v>
      </c>
    </row>
    <row r="58" spans="1:90" x14ac:dyDescent="0.25">
      <c r="A58" t="s">
        <v>222</v>
      </c>
      <c r="B58" t="s">
        <v>223</v>
      </c>
      <c r="C58" t="s">
        <v>72</v>
      </c>
      <c r="E58" t="str">
        <f>"009940718554"</f>
        <v>009940718554</v>
      </c>
      <c r="F58" s="2">
        <v>44329</v>
      </c>
      <c r="G58">
        <v>202111</v>
      </c>
      <c r="H58" t="s">
        <v>96</v>
      </c>
      <c r="I58" t="s">
        <v>97</v>
      </c>
      <c r="J58" t="s">
        <v>242</v>
      </c>
      <c r="K58" t="s">
        <v>75</v>
      </c>
      <c r="L58" t="s">
        <v>159</v>
      </c>
      <c r="M58" t="s">
        <v>160</v>
      </c>
      <c r="N58" t="s">
        <v>298</v>
      </c>
      <c r="O58" t="s">
        <v>76</v>
      </c>
      <c r="P58" t="str">
        <f>"11942270FM                    "</f>
        <v xml:space="preserve">11942270FM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9.42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51.29</v>
      </c>
      <c r="BM58">
        <v>7.69</v>
      </c>
      <c r="BN58">
        <v>58.98</v>
      </c>
      <c r="BO58">
        <v>58.98</v>
      </c>
      <c r="BQ58" t="s">
        <v>376</v>
      </c>
      <c r="BR58" t="s">
        <v>377</v>
      </c>
      <c r="BS58" s="2">
        <v>44330</v>
      </c>
      <c r="BT58" s="3">
        <v>0.42152777777777778</v>
      </c>
      <c r="BU58" t="s">
        <v>378</v>
      </c>
      <c r="BV58" t="s">
        <v>77</v>
      </c>
      <c r="BY58">
        <v>1200</v>
      </c>
      <c r="BZ58" t="s">
        <v>84</v>
      </c>
      <c r="CA58" t="s">
        <v>179</v>
      </c>
      <c r="CC58" t="s">
        <v>160</v>
      </c>
      <c r="CD58">
        <v>46</v>
      </c>
      <c r="CE58" t="s">
        <v>90</v>
      </c>
      <c r="CF58" s="2">
        <v>44330</v>
      </c>
      <c r="CI58">
        <v>1</v>
      </c>
      <c r="CJ58">
        <v>1</v>
      </c>
      <c r="CK58">
        <v>21</v>
      </c>
      <c r="CL58" t="s">
        <v>78</v>
      </c>
    </row>
    <row r="59" spans="1:90" x14ac:dyDescent="0.25">
      <c r="A59" t="s">
        <v>222</v>
      </c>
      <c r="B59" t="s">
        <v>223</v>
      </c>
      <c r="C59" t="s">
        <v>72</v>
      </c>
      <c r="E59" t="str">
        <f>"009940641831"</f>
        <v>009940641831</v>
      </c>
      <c r="F59" s="2">
        <v>44329</v>
      </c>
      <c r="G59">
        <v>202111</v>
      </c>
      <c r="H59" t="s">
        <v>101</v>
      </c>
      <c r="I59" t="s">
        <v>102</v>
      </c>
      <c r="J59" t="s">
        <v>236</v>
      </c>
      <c r="K59" t="s">
        <v>75</v>
      </c>
      <c r="L59" t="s">
        <v>205</v>
      </c>
      <c r="M59" t="s">
        <v>206</v>
      </c>
      <c r="N59" t="s">
        <v>379</v>
      </c>
      <c r="O59" t="s">
        <v>130</v>
      </c>
      <c r="P59" t="str">
        <f>"MT CPT                        "</f>
        <v xml:space="preserve">MT CPT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22.96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3.5</v>
      </c>
      <c r="BJ59">
        <v>4.9000000000000004</v>
      </c>
      <c r="BK59">
        <v>5</v>
      </c>
      <c r="BL59">
        <v>130.02000000000001</v>
      </c>
      <c r="BM59">
        <v>19.5</v>
      </c>
      <c r="BN59">
        <v>149.52000000000001</v>
      </c>
      <c r="BO59">
        <v>149.52000000000001</v>
      </c>
      <c r="BQ59" t="s">
        <v>380</v>
      </c>
      <c r="BR59" t="s">
        <v>239</v>
      </c>
      <c r="BS59" s="2">
        <v>44333</v>
      </c>
      <c r="BT59" s="3">
        <v>0.48749999999999999</v>
      </c>
      <c r="BU59" t="s">
        <v>217</v>
      </c>
      <c r="BV59" t="s">
        <v>77</v>
      </c>
      <c r="BY59">
        <v>24690.959999999999</v>
      </c>
      <c r="CA59" t="s">
        <v>207</v>
      </c>
      <c r="CC59" t="s">
        <v>206</v>
      </c>
      <c r="CD59">
        <v>8801</v>
      </c>
      <c r="CE59" t="s">
        <v>90</v>
      </c>
      <c r="CF59" s="2">
        <v>44333</v>
      </c>
      <c r="CI59">
        <v>4</v>
      </c>
      <c r="CJ59">
        <v>2</v>
      </c>
      <c r="CK59" t="s">
        <v>140</v>
      </c>
      <c r="CL59" t="s">
        <v>78</v>
      </c>
    </row>
    <row r="60" spans="1:90" x14ac:dyDescent="0.25">
      <c r="A60" t="s">
        <v>222</v>
      </c>
      <c r="B60" t="s">
        <v>223</v>
      </c>
      <c r="C60" t="s">
        <v>72</v>
      </c>
      <c r="E60" t="str">
        <f>"009938634390"</f>
        <v>009938634390</v>
      </c>
      <c r="F60" s="2">
        <v>44329</v>
      </c>
      <c r="G60">
        <v>202111</v>
      </c>
      <c r="H60" t="s">
        <v>94</v>
      </c>
      <c r="I60" t="s">
        <v>95</v>
      </c>
      <c r="J60" t="s">
        <v>242</v>
      </c>
      <c r="K60" t="s">
        <v>75</v>
      </c>
      <c r="L60" t="s">
        <v>118</v>
      </c>
      <c r="M60" t="s">
        <v>119</v>
      </c>
      <c r="N60" t="s">
        <v>381</v>
      </c>
      <c r="O60" t="s">
        <v>130</v>
      </c>
      <c r="P60" t="str">
        <f>"NO REF.                       "</f>
        <v xml:space="preserve">NO REF.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13.25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77.13</v>
      </c>
      <c r="BM60">
        <v>11.57</v>
      </c>
      <c r="BN60">
        <v>88.7</v>
      </c>
      <c r="BO60">
        <v>88.7</v>
      </c>
      <c r="BQ60" t="s">
        <v>197</v>
      </c>
      <c r="BR60" t="s">
        <v>290</v>
      </c>
      <c r="BS60" s="2">
        <v>44330</v>
      </c>
      <c r="BT60" s="3">
        <v>0.4993055555555555</v>
      </c>
      <c r="BU60" t="s">
        <v>157</v>
      </c>
      <c r="BV60" t="s">
        <v>77</v>
      </c>
      <c r="BY60">
        <v>1200</v>
      </c>
      <c r="CA60" t="s">
        <v>382</v>
      </c>
      <c r="CC60" t="s">
        <v>119</v>
      </c>
      <c r="CD60">
        <v>3610</v>
      </c>
      <c r="CE60" t="s">
        <v>106</v>
      </c>
      <c r="CF60" s="2">
        <v>44330</v>
      </c>
      <c r="CI60">
        <v>0</v>
      </c>
      <c r="CJ60">
        <v>0</v>
      </c>
      <c r="CK60" t="s">
        <v>132</v>
      </c>
      <c r="CL60" t="s">
        <v>78</v>
      </c>
    </row>
    <row r="61" spans="1:90" x14ac:dyDescent="0.25">
      <c r="A61" t="s">
        <v>222</v>
      </c>
      <c r="B61" t="s">
        <v>223</v>
      </c>
      <c r="C61" t="s">
        <v>72</v>
      </c>
      <c r="E61" t="str">
        <f>"009940641832"</f>
        <v>009940641832</v>
      </c>
      <c r="F61" s="2">
        <v>44329</v>
      </c>
      <c r="G61">
        <v>202111</v>
      </c>
      <c r="H61" t="s">
        <v>101</v>
      </c>
      <c r="I61" t="s">
        <v>102</v>
      </c>
      <c r="J61" t="s">
        <v>236</v>
      </c>
      <c r="K61" t="s">
        <v>75</v>
      </c>
      <c r="L61" t="s">
        <v>141</v>
      </c>
      <c r="M61" t="s">
        <v>142</v>
      </c>
      <c r="N61" t="s">
        <v>383</v>
      </c>
      <c r="O61" t="s">
        <v>130</v>
      </c>
      <c r="P61" t="str">
        <f>"MT CPT                        "</f>
        <v xml:space="preserve">MT CPT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22.96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9.3000000000000007</v>
      </c>
      <c r="BJ61">
        <v>8.6</v>
      </c>
      <c r="BK61">
        <v>10</v>
      </c>
      <c r="BL61">
        <v>130.02000000000001</v>
      </c>
      <c r="BM61">
        <v>19.5</v>
      </c>
      <c r="BN61">
        <v>149.52000000000001</v>
      </c>
      <c r="BO61">
        <v>149.52000000000001</v>
      </c>
      <c r="BQ61" t="s">
        <v>384</v>
      </c>
      <c r="BR61" t="s">
        <v>239</v>
      </c>
      <c r="BS61" s="2">
        <v>44334</v>
      </c>
      <c r="BT61" s="3">
        <v>0.43263888888888885</v>
      </c>
      <c r="BU61" t="s">
        <v>385</v>
      </c>
      <c r="BV61" t="s">
        <v>78</v>
      </c>
      <c r="BW61" t="s">
        <v>111</v>
      </c>
      <c r="BX61" t="s">
        <v>158</v>
      </c>
      <c r="BY61">
        <v>43026</v>
      </c>
      <c r="CA61" t="s">
        <v>139</v>
      </c>
      <c r="CC61" t="s">
        <v>142</v>
      </c>
      <c r="CD61">
        <v>4400</v>
      </c>
      <c r="CE61" t="s">
        <v>90</v>
      </c>
      <c r="CF61" s="2">
        <v>44334</v>
      </c>
      <c r="CI61">
        <v>2</v>
      </c>
      <c r="CJ61">
        <v>3</v>
      </c>
      <c r="CK61" t="s">
        <v>204</v>
      </c>
      <c r="CL61" t="s">
        <v>78</v>
      </c>
    </row>
    <row r="62" spans="1:90" x14ac:dyDescent="0.25">
      <c r="A62" t="s">
        <v>222</v>
      </c>
      <c r="B62" t="s">
        <v>223</v>
      </c>
      <c r="C62" t="s">
        <v>72</v>
      </c>
      <c r="E62" t="str">
        <f>"009939486968"</f>
        <v>009939486968</v>
      </c>
      <c r="F62" s="2">
        <v>44329</v>
      </c>
      <c r="G62">
        <v>202111</v>
      </c>
      <c r="H62" t="s">
        <v>73</v>
      </c>
      <c r="I62" t="s">
        <v>74</v>
      </c>
      <c r="J62" t="s">
        <v>265</v>
      </c>
      <c r="K62" t="s">
        <v>75</v>
      </c>
      <c r="L62" t="s">
        <v>101</v>
      </c>
      <c r="M62" t="s">
        <v>102</v>
      </c>
      <c r="N62" t="s">
        <v>233</v>
      </c>
      <c r="O62" t="s">
        <v>76</v>
      </c>
      <c r="P62" t="str">
        <f>"...                           "</f>
        <v xml:space="preserve">...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9.42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51.29</v>
      </c>
      <c r="BM62">
        <v>7.69</v>
      </c>
      <c r="BN62">
        <v>58.98</v>
      </c>
      <c r="BO62">
        <v>58.98</v>
      </c>
      <c r="BQ62" t="s">
        <v>234</v>
      </c>
      <c r="BR62" t="s">
        <v>267</v>
      </c>
      <c r="BS62" s="2">
        <v>44330</v>
      </c>
      <c r="BT62" s="3">
        <v>0.4694444444444445</v>
      </c>
      <c r="BU62" t="s">
        <v>235</v>
      </c>
      <c r="BV62" t="s">
        <v>78</v>
      </c>
      <c r="BW62" t="s">
        <v>128</v>
      </c>
      <c r="BX62" t="s">
        <v>174</v>
      </c>
      <c r="BY62">
        <v>1200</v>
      </c>
      <c r="BZ62" t="s">
        <v>84</v>
      </c>
      <c r="CA62" t="s">
        <v>122</v>
      </c>
      <c r="CC62" t="s">
        <v>102</v>
      </c>
      <c r="CD62">
        <v>8000</v>
      </c>
      <c r="CE62" t="s">
        <v>90</v>
      </c>
      <c r="CF62" s="2">
        <v>44333</v>
      </c>
      <c r="CI62">
        <v>1</v>
      </c>
      <c r="CJ62">
        <v>1</v>
      </c>
      <c r="CK62">
        <v>21</v>
      </c>
      <c r="CL62" t="s">
        <v>78</v>
      </c>
    </row>
    <row r="63" spans="1:90" x14ac:dyDescent="0.25">
      <c r="A63" t="s">
        <v>222</v>
      </c>
      <c r="B63" t="s">
        <v>223</v>
      </c>
      <c r="C63" t="s">
        <v>72</v>
      </c>
      <c r="E63" t="str">
        <f>"009941553724"</f>
        <v>009941553724</v>
      </c>
      <c r="F63" s="2">
        <v>44328</v>
      </c>
      <c r="G63">
        <v>202111</v>
      </c>
      <c r="H63" t="s">
        <v>73</v>
      </c>
      <c r="I63" t="s">
        <v>74</v>
      </c>
      <c r="J63" t="s">
        <v>340</v>
      </c>
      <c r="K63" t="s">
        <v>75</v>
      </c>
      <c r="L63" t="s">
        <v>249</v>
      </c>
      <c r="M63" t="s">
        <v>249</v>
      </c>
      <c r="N63" t="s">
        <v>250</v>
      </c>
      <c r="O63" t="s">
        <v>130</v>
      </c>
      <c r="P63" t="str">
        <f>"...                           "</f>
        <v xml:space="preserve">...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85.27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60.7</v>
      </c>
      <c r="BJ63">
        <v>44.8</v>
      </c>
      <c r="BK63">
        <v>61</v>
      </c>
      <c r="BL63">
        <v>469.25</v>
      </c>
      <c r="BM63">
        <v>70.39</v>
      </c>
      <c r="BN63">
        <v>539.64</v>
      </c>
      <c r="BO63">
        <v>539.64</v>
      </c>
      <c r="BQ63" t="s">
        <v>170</v>
      </c>
      <c r="BR63" t="s">
        <v>154</v>
      </c>
      <c r="BS63" s="2">
        <v>44333</v>
      </c>
      <c r="BT63" s="3">
        <v>0.44375000000000003</v>
      </c>
      <c r="BU63" t="s">
        <v>175</v>
      </c>
      <c r="BV63" t="s">
        <v>77</v>
      </c>
      <c r="BY63">
        <v>223831.04000000001</v>
      </c>
      <c r="CA63" t="s">
        <v>344</v>
      </c>
      <c r="CC63" t="s">
        <v>249</v>
      </c>
      <c r="CD63">
        <v>6836</v>
      </c>
      <c r="CE63" t="s">
        <v>90</v>
      </c>
      <c r="CF63" s="2">
        <v>44335</v>
      </c>
      <c r="CI63">
        <v>3</v>
      </c>
      <c r="CJ63">
        <v>3</v>
      </c>
      <c r="CK63" t="s">
        <v>140</v>
      </c>
      <c r="CL63" t="s">
        <v>78</v>
      </c>
    </row>
    <row r="64" spans="1:90" x14ac:dyDescent="0.25">
      <c r="A64" t="s">
        <v>222</v>
      </c>
      <c r="B64" t="s">
        <v>223</v>
      </c>
      <c r="C64" t="s">
        <v>72</v>
      </c>
      <c r="E64" t="str">
        <f>"009941553715"</f>
        <v>009941553715</v>
      </c>
      <c r="F64" s="2">
        <v>44330</v>
      </c>
      <c r="G64">
        <v>202111</v>
      </c>
      <c r="H64" t="s">
        <v>73</v>
      </c>
      <c r="I64" t="s">
        <v>74</v>
      </c>
      <c r="J64" t="s">
        <v>340</v>
      </c>
      <c r="K64" t="s">
        <v>75</v>
      </c>
      <c r="L64" t="s">
        <v>249</v>
      </c>
      <c r="M64" t="s">
        <v>249</v>
      </c>
      <c r="N64" t="s">
        <v>341</v>
      </c>
      <c r="O64" t="s">
        <v>130</v>
      </c>
      <c r="P64" t="str">
        <f>"...                           "</f>
        <v xml:space="preserve">...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22.96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2.2000000000000002</v>
      </c>
      <c r="BK64">
        <v>3</v>
      </c>
      <c r="BL64">
        <v>130.02000000000001</v>
      </c>
      <c r="BM64">
        <v>19.5</v>
      </c>
      <c r="BN64">
        <v>149.52000000000001</v>
      </c>
      <c r="BO64">
        <v>149.52000000000001</v>
      </c>
      <c r="BQ64" t="s">
        <v>251</v>
      </c>
      <c r="BR64" t="s">
        <v>154</v>
      </c>
      <c r="BS64" s="2">
        <v>44335</v>
      </c>
      <c r="BT64" s="3">
        <v>0.4069444444444445</v>
      </c>
      <c r="BU64" t="s">
        <v>386</v>
      </c>
      <c r="BV64" t="s">
        <v>77</v>
      </c>
      <c r="BY64">
        <v>10885.95</v>
      </c>
      <c r="CA64" t="s">
        <v>344</v>
      </c>
      <c r="CC64" t="s">
        <v>249</v>
      </c>
      <c r="CD64">
        <v>6836</v>
      </c>
      <c r="CE64" t="s">
        <v>90</v>
      </c>
      <c r="CF64" s="2">
        <v>44337</v>
      </c>
      <c r="CI64">
        <v>3</v>
      </c>
      <c r="CJ64">
        <v>3</v>
      </c>
      <c r="CK64" t="s">
        <v>140</v>
      </c>
      <c r="CL64" t="s">
        <v>78</v>
      </c>
    </row>
    <row r="65" spans="1:90" x14ac:dyDescent="0.25">
      <c r="A65" t="s">
        <v>222</v>
      </c>
      <c r="B65" t="s">
        <v>223</v>
      </c>
      <c r="C65" t="s">
        <v>72</v>
      </c>
      <c r="E65" t="str">
        <f>"009940641820"</f>
        <v>009940641820</v>
      </c>
      <c r="F65" s="2">
        <v>44330</v>
      </c>
      <c r="G65">
        <v>202111</v>
      </c>
      <c r="H65" t="s">
        <v>101</v>
      </c>
      <c r="I65" t="s">
        <v>102</v>
      </c>
      <c r="J65" t="s">
        <v>236</v>
      </c>
      <c r="K65" t="s">
        <v>75</v>
      </c>
      <c r="L65" t="s">
        <v>135</v>
      </c>
      <c r="M65" t="s">
        <v>136</v>
      </c>
      <c r="N65" t="s">
        <v>196</v>
      </c>
      <c r="O65" t="s">
        <v>76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18.25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0.4</v>
      </c>
      <c r="BJ65">
        <v>0.9</v>
      </c>
      <c r="BK65">
        <v>1</v>
      </c>
      <c r="BL65">
        <v>99.37</v>
      </c>
      <c r="BM65">
        <v>14.91</v>
      </c>
      <c r="BN65">
        <v>114.28</v>
      </c>
      <c r="BO65">
        <v>114.28</v>
      </c>
      <c r="BQ65" t="s">
        <v>346</v>
      </c>
      <c r="BR65" t="s">
        <v>387</v>
      </c>
      <c r="BS65" s="2">
        <v>44333</v>
      </c>
      <c r="BT65" s="3">
        <v>0.40972222222222227</v>
      </c>
      <c r="BU65" t="s">
        <v>388</v>
      </c>
      <c r="BV65" t="s">
        <v>77</v>
      </c>
      <c r="BY65">
        <v>4582.8</v>
      </c>
      <c r="BZ65" t="s">
        <v>84</v>
      </c>
      <c r="CA65" t="s">
        <v>172</v>
      </c>
      <c r="CC65" t="s">
        <v>136</v>
      </c>
      <c r="CD65">
        <v>1739</v>
      </c>
      <c r="CE65" t="s">
        <v>90</v>
      </c>
      <c r="CF65" s="2">
        <v>44333</v>
      </c>
      <c r="CI65">
        <v>1</v>
      </c>
      <c r="CJ65">
        <v>1</v>
      </c>
      <c r="CK65">
        <v>23</v>
      </c>
      <c r="CL65" t="s">
        <v>78</v>
      </c>
    </row>
    <row r="66" spans="1:90" x14ac:dyDescent="0.25">
      <c r="A66" t="s">
        <v>222</v>
      </c>
      <c r="B66" t="s">
        <v>223</v>
      </c>
      <c r="C66" t="s">
        <v>72</v>
      </c>
      <c r="E66" t="str">
        <f>"009938634418"</f>
        <v>009938634418</v>
      </c>
      <c r="F66" s="2">
        <v>44330</v>
      </c>
      <c r="G66">
        <v>202111</v>
      </c>
      <c r="H66" t="s">
        <v>94</v>
      </c>
      <c r="I66" t="s">
        <v>95</v>
      </c>
      <c r="J66" t="s">
        <v>242</v>
      </c>
      <c r="K66" t="s">
        <v>75</v>
      </c>
      <c r="L66" t="s">
        <v>199</v>
      </c>
      <c r="M66" t="s">
        <v>200</v>
      </c>
      <c r="N66" t="s">
        <v>389</v>
      </c>
      <c r="O66" t="s">
        <v>76</v>
      </c>
      <c r="P66" t="str">
        <f>"NO RE.                        "</f>
        <v xml:space="preserve">NO RE.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9.42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</v>
      </c>
      <c r="BJ66">
        <v>0.5</v>
      </c>
      <c r="BK66">
        <v>2</v>
      </c>
      <c r="BL66">
        <v>51.29</v>
      </c>
      <c r="BM66">
        <v>7.69</v>
      </c>
      <c r="BN66">
        <v>58.98</v>
      </c>
      <c r="BO66">
        <v>58.98</v>
      </c>
      <c r="BQ66" t="s">
        <v>390</v>
      </c>
      <c r="BR66" t="s">
        <v>106</v>
      </c>
      <c r="BS66" s="2">
        <v>44335</v>
      </c>
      <c r="BT66" s="3">
        <v>0.41666666666666669</v>
      </c>
      <c r="BU66" t="s">
        <v>391</v>
      </c>
      <c r="BV66" t="s">
        <v>78</v>
      </c>
      <c r="BW66" t="s">
        <v>221</v>
      </c>
      <c r="BX66" t="s">
        <v>211</v>
      </c>
      <c r="BY66">
        <v>2400</v>
      </c>
      <c r="BZ66" t="s">
        <v>84</v>
      </c>
      <c r="CA66" t="s">
        <v>219</v>
      </c>
      <c r="CC66" t="s">
        <v>200</v>
      </c>
      <c r="CD66">
        <v>9300</v>
      </c>
      <c r="CE66" t="s">
        <v>106</v>
      </c>
      <c r="CF66" s="2">
        <v>44336</v>
      </c>
      <c r="CI66">
        <v>1</v>
      </c>
      <c r="CJ66">
        <v>3</v>
      </c>
      <c r="CK66">
        <v>21</v>
      </c>
      <c r="CL66" t="s">
        <v>78</v>
      </c>
    </row>
    <row r="67" spans="1:90" x14ac:dyDescent="0.25">
      <c r="A67" t="s">
        <v>222</v>
      </c>
      <c r="B67" t="s">
        <v>223</v>
      </c>
      <c r="C67" t="s">
        <v>72</v>
      </c>
      <c r="E67" t="str">
        <f>"009939921462"</f>
        <v>009939921462</v>
      </c>
      <c r="F67" s="2">
        <v>44326</v>
      </c>
      <c r="G67">
        <v>202111</v>
      </c>
      <c r="H67" t="s">
        <v>199</v>
      </c>
      <c r="I67" t="s">
        <v>200</v>
      </c>
      <c r="J67" t="s">
        <v>232</v>
      </c>
      <c r="K67" t="s">
        <v>75</v>
      </c>
      <c r="L67" t="s">
        <v>85</v>
      </c>
      <c r="M67" t="s">
        <v>86</v>
      </c>
      <c r="N67" t="s">
        <v>242</v>
      </c>
      <c r="O67" t="s">
        <v>130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17.66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101.16</v>
      </c>
      <c r="BM67">
        <v>15.17</v>
      </c>
      <c r="BN67">
        <v>116.33</v>
      </c>
      <c r="BO67">
        <v>116.33</v>
      </c>
      <c r="BQ67" t="s">
        <v>392</v>
      </c>
      <c r="BS67" s="2">
        <v>44327</v>
      </c>
      <c r="BT67" s="3">
        <v>0.34930555555555554</v>
      </c>
      <c r="BU67" t="s">
        <v>181</v>
      </c>
      <c r="BV67" t="s">
        <v>77</v>
      </c>
      <c r="BY67">
        <v>1200</v>
      </c>
      <c r="CA67" t="s">
        <v>110</v>
      </c>
      <c r="CC67" t="s">
        <v>86</v>
      </c>
      <c r="CD67">
        <v>2000</v>
      </c>
      <c r="CE67" t="s">
        <v>90</v>
      </c>
      <c r="CF67" s="2">
        <v>44328</v>
      </c>
      <c r="CI67">
        <v>1</v>
      </c>
      <c r="CJ67">
        <v>1</v>
      </c>
      <c r="CK67" t="s">
        <v>152</v>
      </c>
      <c r="CL67" t="s">
        <v>78</v>
      </c>
    </row>
    <row r="68" spans="1:90" x14ac:dyDescent="0.25">
      <c r="A68" t="s">
        <v>222</v>
      </c>
      <c r="B68" t="s">
        <v>223</v>
      </c>
      <c r="C68" t="s">
        <v>72</v>
      </c>
      <c r="E68" t="str">
        <f>"009940845623"</f>
        <v>009940845623</v>
      </c>
      <c r="F68" s="2">
        <v>44333</v>
      </c>
      <c r="G68">
        <v>202111</v>
      </c>
      <c r="H68" t="s">
        <v>145</v>
      </c>
      <c r="I68" t="s">
        <v>146</v>
      </c>
      <c r="J68" t="s">
        <v>393</v>
      </c>
      <c r="K68" t="s">
        <v>75</v>
      </c>
      <c r="L68" t="s">
        <v>94</v>
      </c>
      <c r="M68" t="s">
        <v>95</v>
      </c>
      <c r="N68" t="s">
        <v>242</v>
      </c>
      <c r="O68" t="s">
        <v>76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9.42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0.5</v>
      </c>
      <c r="BK68">
        <v>1</v>
      </c>
      <c r="BL68">
        <v>51.29</v>
      </c>
      <c r="BM68">
        <v>7.69</v>
      </c>
      <c r="BN68">
        <v>58.98</v>
      </c>
      <c r="BO68">
        <v>58.98</v>
      </c>
      <c r="BQ68" t="s">
        <v>394</v>
      </c>
      <c r="BR68" t="s">
        <v>395</v>
      </c>
      <c r="BS68" s="2">
        <v>44334</v>
      </c>
      <c r="BT68" s="3">
        <v>0.56666666666666665</v>
      </c>
      <c r="BU68" t="s">
        <v>396</v>
      </c>
      <c r="BV68" t="s">
        <v>78</v>
      </c>
      <c r="BW68" t="s">
        <v>126</v>
      </c>
      <c r="BX68" t="s">
        <v>150</v>
      </c>
      <c r="BY68">
        <v>2400</v>
      </c>
      <c r="BZ68" t="s">
        <v>397</v>
      </c>
      <c r="CA68" t="s">
        <v>171</v>
      </c>
      <c r="CC68" t="s">
        <v>95</v>
      </c>
      <c r="CD68">
        <v>200</v>
      </c>
      <c r="CE68" t="s">
        <v>90</v>
      </c>
      <c r="CF68" s="2">
        <v>44334</v>
      </c>
      <c r="CI68">
        <v>1</v>
      </c>
      <c r="CJ68">
        <v>1</v>
      </c>
      <c r="CK68">
        <v>21</v>
      </c>
      <c r="CL68" t="s">
        <v>78</v>
      </c>
    </row>
    <row r="69" spans="1:90" x14ac:dyDescent="0.25">
      <c r="A69" t="s">
        <v>222</v>
      </c>
      <c r="B69" t="s">
        <v>223</v>
      </c>
      <c r="C69" t="s">
        <v>72</v>
      </c>
      <c r="E69" t="str">
        <f>"009940718555"</f>
        <v>009940718555</v>
      </c>
      <c r="F69" s="2">
        <v>44333</v>
      </c>
      <c r="G69">
        <v>202111</v>
      </c>
      <c r="H69" t="s">
        <v>96</v>
      </c>
      <c r="I69" t="s">
        <v>97</v>
      </c>
      <c r="J69" t="s">
        <v>242</v>
      </c>
      <c r="K69" t="s">
        <v>75</v>
      </c>
      <c r="L69" t="s">
        <v>101</v>
      </c>
      <c r="M69" t="s">
        <v>102</v>
      </c>
      <c r="N69" t="s">
        <v>233</v>
      </c>
      <c r="O69" t="s">
        <v>76</v>
      </c>
      <c r="P69" t="str">
        <f>"119 422 70FM                  "</f>
        <v xml:space="preserve">119 422 70FM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9.42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0.6</v>
      </c>
      <c r="BK69">
        <v>2</v>
      </c>
      <c r="BL69">
        <v>51.29</v>
      </c>
      <c r="BM69">
        <v>7.69</v>
      </c>
      <c r="BN69">
        <v>58.98</v>
      </c>
      <c r="BO69">
        <v>58.98</v>
      </c>
      <c r="BQ69" t="s">
        <v>234</v>
      </c>
      <c r="BR69" t="s">
        <v>263</v>
      </c>
      <c r="BS69" s="2">
        <v>44335</v>
      </c>
      <c r="BT69" s="3">
        <v>0.4152777777777778</v>
      </c>
      <c r="BU69" t="s">
        <v>398</v>
      </c>
      <c r="BV69" t="s">
        <v>78</v>
      </c>
      <c r="BW69" t="s">
        <v>128</v>
      </c>
      <c r="BX69" t="s">
        <v>112</v>
      </c>
      <c r="BY69">
        <v>3219</v>
      </c>
      <c r="BZ69" t="s">
        <v>84</v>
      </c>
      <c r="CA69" t="s">
        <v>122</v>
      </c>
      <c r="CC69" t="s">
        <v>102</v>
      </c>
      <c r="CD69">
        <v>8000</v>
      </c>
      <c r="CE69" t="s">
        <v>90</v>
      </c>
      <c r="CF69" s="2">
        <v>44336</v>
      </c>
      <c r="CI69">
        <v>1</v>
      </c>
      <c r="CJ69">
        <v>2</v>
      </c>
      <c r="CK69">
        <v>21</v>
      </c>
      <c r="CL69" t="s">
        <v>78</v>
      </c>
    </row>
    <row r="70" spans="1:90" x14ac:dyDescent="0.25">
      <c r="A70" t="s">
        <v>222</v>
      </c>
      <c r="B70" t="s">
        <v>223</v>
      </c>
      <c r="C70" t="s">
        <v>72</v>
      </c>
      <c r="E70" t="str">
        <f>"009940641836"</f>
        <v>009940641836</v>
      </c>
      <c r="F70" s="2">
        <v>44327</v>
      </c>
      <c r="G70">
        <v>202111</v>
      </c>
      <c r="H70" t="s">
        <v>101</v>
      </c>
      <c r="I70" t="s">
        <v>102</v>
      </c>
      <c r="J70" t="s">
        <v>236</v>
      </c>
      <c r="K70" t="s">
        <v>75</v>
      </c>
      <c r="L70" t="s">
        <v>108</v>
      </c>
      <c r="M70" t="s">
        <v>109</v>
      </c>
      <c r="N70" t="s">
        <v>399</v>
      </c>
      <c r="O70" t="s">
        <v>130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19.28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12.3</v>
      </c>
      <c r="BJ70">
        <v>14.4</v>
      </c>
      <c r="BK70">
        <v>15</v>
      </c>
      <c r="BL70">
        <v>109.99</v>
      </c>
      <c r="BM70">
        <v>16.5</v>
      </c>
      <c r="BN70">
        <v>126.49</v>
      </c>
      <c r="BO70">
        <v>126.49</v>
      </c>
      <c r="BQ70" t="s">
        <v>254</v>
      </c>
      <c r="BR70" t="s">
        <v>239</v>
      </c>
      <c r="BS70" s="2">
        <v>44334</v>
      </c>
      <c r="BT70" s="3">
        <v>0.42777777777777781</v>
      </c>
      <c r="BU70" t="s">
        <v>191</v>
      </c>
      <c r="BV70" t="s">
        <v>78</v>
      </c>
      <c r="BW70" t="s">
        <v>125</v>
      </c>
      <c r="BX70" t="s">
        <v>169</v>
      </c>
      <c r="BY70">
        <v>71805.240000000005</v>
      </c>
      <c r="CA70" t="s">
        <v>116</v>
      </c>
      <c r="CC70" t="s">
        <v>109</v>
      </c>
      <c r="CD70">
        <v>2162</v>
      </c>
      <c r="CE70" t="s">
        <v>90</v>
      </c>
      <c r="CF70" s="2">
        <v>44335</v>
      </c>
      <c r="CI70">
        <v>2</v>
      </c>
      <c r="CJ70">
        <v>5</v>
      </c>
      <c r="CK70" t="s">
        <v>134</v>
      </c>
      <c r="CL70" t="s">
        <v>78</v>
      </c>
    </row>
    <row r="71" spans="1:90" x14ac:dyDescent="0.25">
      <c r="A71" t="s">
        <v>222</v>
      </c>
      <c r="B71" t="s">
        <v>223</v>
      </c>
      <c r="C71" t="s">
        <v>72</v>
      </c>
      <c r="E71" t="str">
        <f>"009940641835"</f>
        <v>009940641835</v>
      </c>
      <c r="F71" s="2">
        <v>44333</v>
      </c>
      <c r="G71">
        <v>202111</v>
      </c>
      <c r="H71" t="s">
        <v>101</v>
      </c>
      <c r="I71" t="s">
        <v>102</v>
      </c>
      <c r="J71" t="s">
        <v>236</v>
      </c>
      <c r="K71" t="s">
        <v>75</v>
      </c>
      <c r="L71" t="s">
        <v>120</v>
      </c>
      <c r="M71" t="s">
        <v>121</v>
      </c>
      <c r="N71" t="s">
        <v>400</v>
      </c>
      <c r="O71" t="s">
        <v>130</v>
      </c>
      <c r="P71" t="str">
        <f>"MT CAPE TOWN                  "</f>
        <v xml:space="preserve">MT CAPE TOWN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14.36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16.899999999999999</v>
      </c>
      <c r="BJ71">
        <v>13.5</v>
      </c>
      <c r="BK71">
        <v>17</v>
      </c>
      <c r="BL71">
        <v>83.2</v>
      </c>
      <c r="BM71">
        <v>12.48</v>
      </c>
      <c r="BN71">
        <v>95.68</v>
      </c>
      <c r="BO71">
        <v>95.68</v>
      </c>
      <c r="BQ71" t="s">
        <v>401</v>
      </c>
      <c r="BR71" t="s">
        <v>239</v>
      </c>
      <c r="BS71" s="2">
        <v>44334</v>
      </c>
      <c r="BT71" s="3">
        <v>0.43402777777777773</v>
      </c>
      <c r="BU71" t="s">
        <v>402</v>
      </c>
      <c r="BV71" t="s">
        <v>77</v>
      </c>
      <c r="BY71">
        <v>67307.199999999997</v>
      </c>
      <c r="CC71" t="s">
        <v>121</v>
      </c>
      <c r="CD71">
        <v>6500</v>
      </c>
      <c r="CE71" t="s">
        <v>90</v>
      </c>
      <c r="CF71" s="2">
        <v>44335</v>
      </c>
      <c r="CI71">
        <v>0</v>
      </c>
      <c r="CJ71">
        <v>0</v>
      </c>
      <c r="CK71" t="s">
        <v>202</v>
      </c>
      <c r="CL71" t="s">
        <v>78</v>
      </c>
    </row>
    <row r="72" spans="1:90" x14ac:dyDescent="0.25">
      <c r="A72" t="s">
        <v>222</v>
      </c>
      <c r="B72" t="s">
        <v>223</v>
      </c>
      <c r="C72" t="s">
        <v>72</v>
      </c>
      <c r="E72" t="str">
        <f>"009940857273"</f>
        <v>009940857273</v>
      </c>
      <c r="F72" s="2">
        <v>44334</v>
      </c>
      <c r="G72">
        <v>202111</v>
      </c>
      <c r="H72" t="s">
        <v>91</v>
      </c>
      <c r="I72" t="s">
        <v>92</v>
      </c>
      <c r="J72" t="s">
        <v>256</v>
      </c>
      <c r="K72" t="s">
        <v>75</v>
      </c>
      <c r="L72" t="s">
        <v>81</v>
      </c>
      <c r="M72" t="s">
        <v>82</v>
      </c>
      <c r="N72" t="s">
        <v>257</v>
      </c>
      <c r="O72" t="s">
        <v>130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39.93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36.5</v>
      </c>
      <c r="BJ72">
        <v>39.200000000000003</v>
      </c>
      <c r="BK72">
        <v>40</v>
      </c>
      <c r="BL72">
        <v>222.39</v>
      </c>
      <c r="BM72">
        <v>33.36</v>
      </c>
      <c r="BN72">
        <v>255.75</v>
      </c>
      <c r="BO72">
        <v>255.75</v>
      </c>
      <c r="BQ72" t="s">
        <v>218</v>
      </c>
      <c r="BR72" t="s">
        <v>259</v>
      </c>
      <c r="BS72" s="2">
        <v>44336</v>
      </c>
      <c r="BT72" s="3">
        <v>0.38194444444444442</v>
      </c>
      <c r="BU72" t="s">
        <v>403</v>
      </c>
      <c r="BV72" t="s">
        <v>77</v>
      </c>
      <c r="BY72">
        <v>196079.09</v>
      </c>
      <c r="CA72" t="s">
        <v>143</v>
      </c>
      <c r="CC72" t="s">
        <v>82</v>
      </c>
      <c r="CD72">
        <v>6001</v>
      </c>
      <c r="CE72" t="s">
        <v>90</v>
      </c>
      <c r="CF72" s="2">
        <v>44336</v>
      </c>
      <c r="CI72">
        <v>2</v>
      </c>
      <c r="CJ72">
        <v>2</v>
      </c>
      <c r="CK72" t="s">
        <v>134</v>
      </c>
      <c r="CL72" t="s">
        <v>78</v>
      </c>
    </row>
    <row r="73" spans="1:90" x14ac:dyDescent="0.25">
      <c r="A73" t="s">
        <v>222</v>
      </c>
      <c r="B73" t="s">
        <v>223</v>
      </c>
      <c r="C73" t="s">
        <v>72</v>
      </c>
      <c r="E73" t="str">
        <f>"009940135288"</f>
        <v>009940135288</v>
      </c>
      <c r="F73" s="2">
        <v>44334</v>
      </c>
      <c r="G73">
        <v>202111</v>
      </c>
      <c r="H73" t="s">
        <v>91</v>
      </c>
      <c r="I73" t="s">
        <v>92</v>
      </c>
      <c r="J73" t="s">
        <v>236</v>
      </c>
      <c r="K73" t="s">
        <v>75</v>
      </c>
      <c r="L73" t="s">
        <v>153</v>
      </c>
      <c r="M73" t="s">
        <v>102</v>
      </c>
      <c r="N73" t="s">
        <v>404</v>
      </c>
      <c r="O73" t="s">
        <v>130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19.28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5</v>
      </c>
      <c r="BJ73">
        <v>5.4</v>
      </c>
      <c r="BK73">
        <v>6</v>
      </c>
      <c r="BL73">
        <v>109.99</v>
      </c>
      <c r="BM73">
        <v>16.5</v>
      </c>
      <c r="BN73">
        <v>126.49</v>
      </c>
      <c r="BO73">
        <v>126.49</v>
      </c>
      <c r="BQ73" t="s">
        <v>405</v>
      </c>
      <c r="BR73" t="s">
        <v>406</v>
      </c>
      <c r="BS73" s="2">
        <v>44336</v>
      </c>
      <c r="BT73" s="3">
        <v>0.47013888888888888</v>
      </c>
      <c r="BU73" t="s">
        <v>407</v>
      </c>
      <c r="BV73" t="s">
        <v>77</v>
      </c>
      <c r="BY73">
        <v>26757.41</v>
      </c>
      <c r="CA73" t="s">
        <v>198</v>
      </c>
      <c r="CC73" t="s">
        <v>102</v>
      </c>
      <c r="CD73">
        <v>7800</v>
      </c>
      <c r="CE73" t="s">
        <v>90</v>
      </c>
      <c r="CF73" s="2">
        <v>44337</v>
      </c>
      <c r="CI73">
        <v>2</v>
      </c>
      <c r="CJ73">
        <v>2</v>
      </c>
      <c r="CK73" t="s">
        <v>134</v>
      </c>
      <c r="CL73" t="s">
        <v>78</v>
      </c>
    </row>
    <row r="74" spans="1:90" x14ac:dyDescent="0.25">
      <c r="A74" t="s">
        <v>222</v>
      </c>
      <c r="B74" t="s">
        <v>223</v>
      </c>
      <c r="C74" t="s">
        <v>72</v>
      </c>
      <c r="E74" t="str">
        <f>"009941483502"</f>
        <v>009941483502</v>
      </c>
      <c r="F74" s="2">
        <v>44334</v>
      </c>
      <c r="G74">
        <v>202111</v>
      </c>
      <c r="H74" t="s">
        <v>73</v>
      </c>
      <c r="I74" t="s">
        <v>74</v>
      </c>
      <c r="J74" t="s">
        <v>248</v>
      </c>
      <c r="K74" t="s">
        <v>75</v>
      </c>
      <c r="L74" t="s">
        <v>249</v>
      </c>
      <c r="M74" t="s">
        <v>249</v>
      </c>
      <c r="N74" t="s">
        <v>408</v>
      </c>
      <c r="O74" t="s">
        <v>130</v>
      </c>
      <c r="P74" t="str">
        <f>"462261                        "</f>
        <v xml:space="preserve">462261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39.22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26.2</v>
      </c>
      <c r="BJ74">
        <v>17.600000000000001</v>
      </c>
      <c r="BK74">
        <v>27</v>
      </c>
      <c r="BL74">
        <v>218.52</v>
      </c>
      <c r="BM74">
        <v>32.78</v>
      </c>
      <c r="BN74">
        <v>251.3</v>
      </c>
      <c r="BO74">
        <v>251.3</v>
      </c>
      <c r="BQ74" t="s">
        <v>251</v>
      </c>
      <c r="BR74" t="s">
        <v>252</v>
      </c>
      <c r="BS74" s="2">
        <v>44340</v>
      </c>
      <c r="BT74" s="3">
        <v>0.3215277777777778</v>
      </c>
      <c r="BU74" t="s">
        <v>343</v>
      </c>
      <c r="BV74" t="s">
        <v>78</v>
      </c>
      <c r="BW74" t="s">
        <v>111</v>
      </c>
      <c r="BX74" t="s">
        <v>112</v>
      </c>
      <c r="BY74">
        <v>88208.639999999999</v>
      </c>
      <c r="CA74" t="s">
        <v>409</v>
      </c>
      <c r="CC74" t="s">
        <v>249</v>
      </c>
      <c r="CD74">
        <v>6836</v>
      </c>
      <c r="CE74" t="s">
        <v>90</v>
      </c>
      <c r="CF74" s="2">
        <v>44341</v>
      </c>
      <c r="CI74">
        <v>3</v>
      </c>
      <c r="CJ74">
        <v>4</v>
      </c>
      <c r="CK74" t="s">
        <v>140</v>
      </c>
      <c r="CL74" t="s">
        <v>78</v>
      </c>
    </row>
    <row r="75" spans="1:90" x14ac:dyDescent="0.25">
      <c r="A75" t="s">
        <v>222</v>
      </c>
      <c r="B75" t="s">
        <v>223</v>
      </c>
      <c r="C75" t="s">
        <v>72</v>
      </c>
      <c r="E75" t="str">
        <f>"009941553721"</f>
        <v>009941553721</v>
      </c>
      <c r="F75" s="2">
        <v>44329</v>
      </c>
      <c r="G75">
        <v>202111</v>
      </c>
      <c r="H75" t="s">
        <v>73</v>
      </c>
      <c r="I75" t="s">
        <v>74</v>
      </c>
      <c r="J75" t="s">
        <v>340</v>
      </c>
      <c r="K75" t="s">
        <v>75</v>
      </c>
      <c r="L75" t="s">
        <v>249</v>
      </c>
      <c r="M75" t="s">
        <v>249</v>
      </c>
      <c r="N75" t="s">
        <v>410</v>
      </c>
      <c r="O75" t="s">
        <v>130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29.74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3.4</v>
      </c>
      <c r="BJ75">
        <v>19.5</v>
      </c>
      <c r="BK75">
        <v>20</v>
      </c>
      <c r="BL75">
        <v>166.9</v>
      </c>
      <c r="BM75">
        <v>25.04</v>
      </c>
      <c r="BN75">
        <v>191.94</v>
      </c>
      <c r="BO75">
        <v>191.94</v>
      </c>
      <c r="BQ75" t="s">
        <v>251</v>
      </c>
      <c r="BR75" t="s">
        <v>154</v>
      </c>
      <c r="BS75" s="2">
        <v>44335</v>
      </c>
      <c r="BT75" s="3">
        <v>0.4069444444444445</v>
      </c>
      <c r="BU75" t="s">
        <v>386</v>
      </c>
      <c r="BV75" t="s">
        <v>78</v>
      </c>
      <c r="BW75" t="s">
        <v>126</v>
      </c>
      <c r="BX75" t="s">
        <v>411</v>
      </c>
      <c r="BY75">
        <v>97706.48</v>
      </c>
      <c r="CA75" t="s">
        <v>344</v>
      </c>
      <c r="CC75" t="s">
        <v>249</v>
      </c>
      <c r="CD75">
        <v>6836</v>
      </c>
      <c r="CE75" t="s">
        <v>90</v>
      </c>
      <c r="CF75" s="2">
        <v>44337</v>
      </c>
      <c r="CI75">
        <v>3</v>
      </c>
      <c r="CJ75">
        <v>4</v>
      </c>
      <c r="CK75" t="s">
        <v>140</v>
      </c>
      <c r="CL75" t="s">
        <v>78</v>
      </c>
    </row>
    <row r="76" spans="1:90" x14ac:dyDescent="0.25">
      <c r="A76" t="s">
        <v>222</v>
      </c>
      <c r="B76" t="s">
        <v>223</v>
      </c>
      <c r="C76" t="s">
        <v>72</v>
      </c>
      <c r="E76" t="str">
        <f>"009940912219"</f>
        <v>009940912219</v>
      </c>
      <c r="F76" s="2">
        <v>44327</v>
      </c>
      <c r="G76">
        <v>202111</v>
      </c>
      <c r="H76" t="s">
        <v>81</v>
      </c>
      <c r="I76" t="s">
        <v>82</v>
      </c>
      <c r="J76" t="s">
        <v>242</v>
      </c>
      <c r="K76" t="s">
        <v>75</v>
      </c>
      <c r="L76" t="s">
        <v>85</v>
      </c>
      <c r="M76" t="s">
        <v>86</v>
      </c>
      <c r="N76" t="s">
        <v>286</v>
      </c>
      <c r="O76" t="s">
        <v>76</v>
      </c>
      <c r="P76" t="str">
        <f>"11912270 FM                   "</f>
        <v xml:space="preserve">11912270 FM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9.42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0.5</v>
      </c>
      <c r="BK76">
        <v>1</v>
      </c>
      <c r="BL76">
        <v>51.29</v>
      </c>
      <c r="BM76">
        <v>7.69</v>
      </c>
      <c r="BN76">
        <v>58.98</v>
      </c>
      <c r="BO76">
        <v>58.98</v>
      </c>
      <c r="BQ76" t="s">
        <v>412</v>
      </c>
      <c r="BR76" t="s">
        <v>303</v>
      </c>
      <c r="BS76" s="2">
        <v>44328</v>
      </c>
      <c r="BT76" s="3">
        <v>0.38611111111111113</v>
      </c>
      <c r="BU76" t="s">
        <v>181</v>
      </c>
      <c r="BV76" t="s">
        <v>77</v>
      </c>
      <c r="BY76">
        <v>2400</v>
      </c>
      <c r="BZ76" t="s">
        <v>84</v>
      </c>
      <c r="CA76" t="s">
        <v>110</v>
      </c>
      <c r="CC76" t="s">
        <v>86</v>
      </c>
      <c r="CD76">
        <v>2021</v>
      </c>
      <c r="CE76" t="s">
        <v>90</v>
      </c>
      <c r="CF76" s="2">
        <v>44329</v>
      </c>
      <c r="CI76">
        <v>1</v>
      </c>
      <c r="CJ76">
        <v>1</v>
      </c>
      <c r="CK76">
        <v>21</v>
      </c>
      <c r="CL76" t="s">
        <v>78</v>
      </c>
    </row>
    <row r="77" spans="1:90" x14ac:dyDescent="0.25">
      <c r="A77" t="s">
        <v>222</v>
      </c>
      <c r="B77" t="s">
        <v>223</v>
      </c>
      <c r="C77" t="s">
        <v>72</v>
      </c>
      <c r="E77" t="str">
        <f>"009940912253"</f>
        <v>009940912253</v>
      </c>
      <c r="F77" s="2">
        <v>44327</v>
      </c>
      <c r="G77">
        <v>202111</v>
      </c>
      <c r="H77" t="s">
        <v>81</v>
      </c>
      <c r="I77" t="s">
        <v>82</v>
      </c>
      <c r="J77" t="s">
        <v>242</v>
      </c>
      <c r="K77" t="s">
        <v>75</v>
      </c>
      <c r="L77" t="s">
        <v>101</v>
      </c>
      <c r="M77" t="s">
        <v>102</v>
      </c>
      <c r="N77" t="s">
        <v>269</v>
      </c>
      <c r="O77" t="s">
        <v>76</v>
      </c>
      <c r="P77" t="str">
        <f>"11912270 FM                   "</f>
        <v xml:space="preserve">11912270 FM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9.42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51.29</v>
      </c>
      <c r="BM77">
        <v>7.69</v>
      </c>
      <c r="BN77">
        <v>58.98</v>
      </c>
      <c r="BO77">
        <v>58.98</v>
      </c>
      <c r="BQ77" t="s">
        <v>234</v>
      </c>
      <c r="BR77" t="s">
        <v>303</v>
      </c>
      <c r="BS77" s="2">
        <v>44328</v>
      </c>
      <c r="BT77" s="3">
        <v>0.43333333333333335</v>
      </c>
      <c r="BU77" t="s">
        <v>413</v>
      </c>
      <c r="BV77" t="s">
        <v>77</v>
      </c>
      <c r="BY77">
        <v>1200</v>
      </c>
      <c r="BZ77" t="s">
        <v>84</v>
      </c>
      <c r="CA77" t="s">
        <v>122</v>
      </c>
      <c r="CC77" t="s">
        <v>102</v>
      </c>
      <c r="CD77">
        <v>8000</v>
      </c>
      <c r="CE77" t="s">
        <v>90</v>
      </c>
      <c r="CF77" s="2">
        <v>44329</v>
      </c>
      <c r="CI77">
        <v>1</v>
      </c>
      <c r="CJ77">
        <v>1</v>
      </c>
      <c r="CK77">
        <v>21</v>
      </c>
      <c r="CL77" t="s">
        <v>78</v>
      </c>
    </row>
    <row r="78" spans="1:90" x14ac:dyDescent="0.25">
      <c r="A78" t="s">
        <v>222</v>
      </c>
      <c r="B78" t="s">
        <v>223</v>
      </c>
      <c r="C78" t="s">
        <v>72</v>
      </c>
      <c r="E78" t="str">
        <f>"009940648446"</f>
        <v>009940648446</v>
      </c>
      <c r="F78" s="2">
        <v>44327</v>
      </c>
      <c r="G78">
        <v>202111</v>
      </c>
      <c r="H78" t="s">
        <v>101</v>
      </c>
      <c r="I78" t="s">
        <v>102</v>
      </c>
      <c r="J78" t="s">
        <v>243</v>
      </c>
      <c r="K78" t="s">
        <v>75</v>
      </c>
      <c r="L78" t="s">
        <v>85</v>
      </c>
      <c r="M78" t="s">
        <v>86</v>
      </c>
      <c r="N78" t="s">
        <v>243</v>
      </c>
      <c r="O78" t="s">
        <v>76</v>
      </c>
      <c r="P78" t="str">
        <f>"11252350B                     "</f>
        <v xml:space="preserve">11252350B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9.42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0.5</v>
      </c>
      <c r="BK78">
        <v>0.5</v>
      </c>
      <c r="BL78">
        <v>51.29</v>
      </c>
      <c r="BM78">
        <v>7.69</v>
      </c>
      <c r="BN78">
        <v>58.98</v>
      </c>
      <c r="BO78">
        <v>58.98</v>
      </c>
      <c r="BQ78" t="s">
        <v>414</v>
      </c>
      <c r="BR78" t="s">
        <v>415</v>
      </c>
      <c r="BS78" s="2">
        <v>44328</v>
      </c>
      <c r="BT78" s="3">
        <v>0.38611111111111113</v>
      </c>
      <c r="BU78" t="s">
        <v>181</v>
      </c>
      <c r="BV78" t="s">
        <v>77</v>
      </c>
      <c r="BY78">
        <v>2350.11</v>
      </c>
      <c r="BZ78" t="s">
        <v>84</v>
      </c>
      <c r="CA78" t="s">
        <v>110</v>
      </c>
      <c r="CC78" t="s">
        <v>86</v>
      </c>
      <c r="CD78">
        <v>2021</v>
      </c>
      <c r="CE78" t="s">
        <v>90</v>
      </c>
      <c r="CF78" s="2">
        <v>44329</v>
      </c>
      <c r="CI78">
        <v>1</v>
      </c>
      <c r="CJ78">
        <v>1</v>
      </c>
      <c r="CK78">
        <v>21</v>
      </c>
      <c r="CL78" t="s">
        <v>78</v>
      </c>
    </row>
    <row r="79" spans="1:90" x14ac:dyDescent="0.25">
      <c r="A79" t="s">
        <v>222</v>
      </c>
      <c r="B79" t="s">
        <v>223</v>
      </c>
      <c r="C79" t="s">
        <v>72</v>
      </c>
      <c r="E79" t="str">
        <f>"009940641804"</f>
        <v>009940641804</v>
      </c>
      <c r="F79" s="2">
        <v>44335</v>
      </c>
      <c r="G79">
        <v>202111</v>
      </c>
      <c r="H79" t="s">
        <v>101</v>
      </c>
      <c r="I79" t="s">
        <v>102</v>
      </c>
      <c r="J79" t="s">
        <v>236</v>
      </c>
      <c r="K79" t="s">
        <v>75</v>
      </c>
      <c r="L79" t="s">
        <v>101</v>
      </c>
      <c r="M79" t="s">
        <v>102</v>
      </c>
      <c r="N79" t="s">
        <v>151</v>
      </c>
      <c r="O79" t="s">
        <v>76</v>
      </c>
      <c r="P79" t="str">
        <f>"MT CAPE TOWN                  "</f>
        <v xml:space="preserve">MT CAPE TOWN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7.36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0.4</v>
      </c>
      <c r="BJ79">
        <v>2.1</v>
      </c>
      <c r="BK79">
        <v>3</v>
      </c>
      <c r="BL79">
        <v>40.07</v>
      </c>
      <c r="BM79">
        <v>6.01</v>
      </c>
      <c r="BN79">
        <v>46.08</v>
      </c>
      <c r="BO79">
        <v>46.08</v>
      </c>
      <c r="BQ79" t="s">
        <v>416</v>
      </c>
      <c r="BR79" t="s">
        <v>239</v>
      </c>
      <c r="BS79" s="2">
        <v>44336</v>
      </c>
      <c r="BT79" s="3">
        <v>0.4069444444444445</v>
      </c>
      <c r="BU79" t="s">
        <v>417</v>
      </c>
      <c r="BV79" t="s">
        <v>77</v>
      </c>
      <c r="BY79">
        <v>10589.4</v>
      </c>
      <c r="BZ79" t="s">
        <v>84</v>
      </c>
      <c r="CA79" t="s">
        <v>183</v>
      </c>
      <c r="CC79" t="s">
        <v>102</v>
      </c>
      <c r="CD79">
        <v>7925</v>
      </c>
      <c r="CE79" t="s">
        <v>90</v>
      </c>
      <c r="CF79" s="2">
        <v>44337</v>
      </c>
      <c r="CI79">
        <v>1</v>
      </c>
      <c r="CJ79">
        <v>1</v>
      </c>
      <c r="CK79">
        <v>22</v>
      </c>
      <c r="CL79" t="s">
        <v>78</v>
      </c>
    </row>
    <row r="80" spans="1:90" x14ac:dyDescent="0.25">
      <c r="A80" t="s">
        <v>222</v>
      </c>
      <c r="B80" t="s">
        <v>223</v>
      </c>
      <c r="C80" t="s">
        <v>72</v>
      </c>
      <c r="E80" t="str">
        <f>"009940648447"</f>
        <v>009940648447</v>
      </c>
      <c r="F80" s="2">
        <v>44335</v>
      </c>
      <c r="G80">
        <v>202111</v>
      </c>
      <c r="H80" t="s">
        <v>101</v>
      </c>
      <c r="I80" t="s">
        <v>102</v>
      </c>
      <c r="J80" t="s">
        <v>242</v>
      </c>
      <c r="K80" t="s">
        <v>75</v>
      </c>
      <c r="L80" t="s">
        <v>96</v>
      </c>
      <c r="M80" t="s">
        <v>97</v>
      </c>
      <c r="N80" t="s">
        <v>418</v>
      </c>
      <c r="O80" t="s">
        <v>133</v>
      </c>
      <c r="P80" t="str">
        <f>"11942270FM                    "</f>
        <v xml:space="preserve">11942270FM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17.66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1.2</v>
      </c>
      <c r="BJ80">
        <v>2</v>
      </c>
      <c r="BK80">
        <v>2</v>
      </c>
      <c r="BL80">
        <v>96.16</v>
      </c>
      <c r="BM80">
        <v>14.42</v>
      </c>
      <c r="BN80">
        <v>110.58</v>
      </c>
      <c r="BO80">
        <v>110.58</v>
      </c>
      <c r="BQ80" t="s">
        <v>419</v>
      </c>
      <c r="BR80" t="s">
        <v>420</v>
      </c>
      <c r="BS80" s="2">
        <v>44337</v>
      </c>
      <c r="BT80" s="3">
        <v>0.46666666666666662</v>
      </c>
      <c r="BU80" t="s">
        <v>421</v>
      </c>
      <c r="BV80" t="s">
        <v>78</v>
      </c>
      <c r="BW80" t="s">
        <v>128</v>
      </c>
      <c r="BX80" t="s">
        <v>158</v>
      </c>
      <c r="BY80">
        <v>10166.879999999999</v>
      </c>
      <c r="BZ80" t="s">
        <v>156</v>
      </c>
      <c r="CA80" t="s">
        <v>148</v>
      </c>
      <c r="CC80" t="s">
        <v>97</v>
      </c>
      <c r="CD80">
        <v>4051</v>
      </c>
      <c r="CE80" t="s">
        <v>90</v>
      </c>
      <c r="CF80" s="2">
        <v>44337</v>
      </c>
      <c r="CI80">
        <v>1</v>
      </c>
      <c r="CJ80">
        <v>2</v>
      </c>
      <c r="CK80">
        <v>31</v>
      </c>
      <c r="CL80" t="s">
        <v>78</v>
      </c>
    </row>
    <row r="81" spans="1:90" x14ac:dyDescent="0.25">
      <c r="A81" t="s">
        <v>222</v>
      </c>
      <c r="B81" t="s">
        <v>223</v>
      </c>
      <c r="C81" t="s">
        <v>72</v>
      </c>
      <c r="E81" t="str">
        <f>"009940641802"</f>
        <v>009940641802</v>
      </c>
      <c r="F81" s="2">
        <v>44335</v>
      </c>
      <c r="G81">
        <v>202111</v>
      </c>
      <c r="H81" t="s">
        <v>101</v>
      </c>
      <c r="I81" t="s">
        <v>102</v>
      </c>
      <c r="J81" t="s">
        <v>236</v>
      </c>
      <c r="K81" t="s">
        <v>75</v>
      </c>
      <c r="L81" t="s">
        <v>79</v>
      </c>
      <c r="M81" t="s">
        <v>80</v>
      </c>
      <c r="N81" t="s">
        <v>422</v>
      </c>
      <c r="O81" t="s">
        <v>130</v>
      </c>
      <c r="P81" t="str">
        <f>"MT CAPE TOWN                  "</f>
        <v xml:space="preserve">MT CAPE TOWN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37.49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38.799999999999997</v>
      </c>
      <c r="BJ81">
        <v>35.1</v>
      </c>
      <c r="BK81">
        <v>39</v>
      </c>
      <c r="BL81">
        <v>209.13</v>
      </c>
      <c r="BM81">
        <v>31.37</v>
      </c>
      <c r="BN81">
        <v>240.5</v>
      </c>
      <c r="BO81">
        <v>240.5</v>
      </c>
      <c r="BQ81" t="s">
        <v>423</v>
      </c>
      <c r="BR81" t="s">
        <v>239</v>
      </c>
      <c r="BS81" s="2">
        <v>44337</v>
      </c>
      <c r="BT81" s="3">
        <v>0.47847222222222219</v>
      </c>
      <c r="BU81" t="s">
        <v>424</v>
      </c>
      <c r="BV81" t="s">
        <v>77</v>
      </c>
      <c r="BY81">
        <v>175376.16</v>
      </c>
      <c r="CA81" t="s">
        <v>107</v>
      </c>
      <c r="CC81" t="s">
        <v>80</v>
      </c>
      <c r="CD81">
        <v>5201</v>
      </c>
      <c r="CE81" t="s">
        <v>90</v>
      </c>
      <c r="CF81" s="2">
        <v>44337</v>
      </c>
      <c r="CI81">
        <v>2</v>
      </c>
      <c r="CJ81">
        <v>2</v>
      </c>
      <c r="CK81" t="s">
        <v>190</v>
      </c>
      <c r="CL81" t="s">
        <v>78</v>
      </c>
    </row>
    <row r="82" spans="1:90" x14ac:dyDescent="0.25">
      <c r="A82" t="s">
        <v>222</v>
      </c>
      <c r="B82" t="s">
        <v>223</v>
      </c>
      <c r="C82" t="s">
        <v>72</v>
      </c>
      <c r="E82" t="str">
        <f>"009941020938"</f>
        <v>009941020938</v>
      </c>
      <c r="F82" s="2">
        <v>44329</v>
      </c>
      <c r="G82">
        <v>202111</v>
      </c>
      <c r="H82" t="s">
        <v>81</v>
      </c>
      <c r="I82" t="s">
        <v>82</v>
      </c>
      <c r="J82" t="s">
        <v>236</v>
      </c>
      <c r="K82" t="s">
        <v>75</v>
      </c>
      <c r="L82" t="s">
        <v>91</v>
      </c>
      <c r="M82" t="s">
        <v>92</v>
      </c>
      <c r="N82" t="s">
        <v>365</v>
      </c>
      <c r="O82" t="s">
        <v>130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33.32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20</v>
      </c>
      <c r="BJ82">
        <v>32</v>
      </c>
      <c r="BK82">
        <v>32</v>
      </c>
      <c r="BL82">
        <v>186.42</v>
      </c>
      <c r="BM82">
        <v>27.96</v>
      </c>
      <c r="BN82">
        <v>214.38</v>
      </c>
      <c r="BO82">
        <v>214.38</v>
      </c>
      <c r="BQ82" t="s">
        <v>366</v>
      </c>
      <c r="BR82" t="s">
        <v>258</v>
      </c>
      <c r="BS82" s="2">
        <v>44333</v>
      </c>
      <c r="BT82" s="3">
        <v>0.38055555555555554</v>
      </c>
      <c r="BU82" t="s">
        <v>367</v>
      </c>
      <c r="BV82" t="s">
        <v>77</v>
      </c>
      <c r="BY82">
        <v>80000</v>
      </c>
      <c r="CA82" t="s">
        <v>144</v>
      </c>
      <c r="CC82" t="s">
        <v>92</v>
      </c>
      <c r="CD82">
        <v>1682</v>
      </c>
      <c r="CE82" t="s">
        <v>90</v>
      </c>
      <c r="CF82" s="2">
        <v>44334</v>
      </c>
      <c r="CI82">
        <v>2</v>
      </c>
      <c r="CJ82">
        <v>2</v>
      </c>
      <c r="CK82" t="s">
        <v>134</v>
      </c>
      <c r="CL82" t="s">
        <v>78</v>
      </c>
    </row>
    <row r="83" spans="1:90" x14ac:dyDescent="0.25">
      <c r="A83" t="s">
        <v>222</v>
      </c>
      <c r="B83" t="s">
        <v>223</v>
      </c>
      <c r="C83" t="s">
        <v>72</v>
      </c>
      <c r="E83" t="str">
        <f>"009940912252"</f>
        <v>009940912252</v>
      </c>
      <c r="F83" s="2">
        <v>44336</v>
      </c>
      <c r="G83">
        <v>202111</v>
      </c>
      <c r="H83" t="s">
        <v>81</v>
      </c>
      <c r="I83" t="s">
        <v>82</v>
      </c>
      <c r="J83" t="s">
        <v>242</v>
      </c>
      <c r="K83" t="s">
        <v>75</v>
      </c>
      <c r="L83" t="s">
        <v>85</v>
      </c>
      <c r="M83" t="s">
        <v>86</v>
      </c>
      <c r="N83" t="s">
        <v>425</v>
      </c>
      <c r="O83" t="s">
        <v>76</v>
      </c>
      <c r="P83" t="str">
        <f>"11912270fm                    "</f>
        <v xml:space="preserve">11912270fm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51.29</v>
      </c>
      <c r="BM83">
        <v>7.69</v>
      </c>
      <c r="BN83">
        <v>58.98</v>
      </c>
      <c r="BO83">
        <v>58.98</v>
      </c>
      <c r="BR83" t="s">
        <v>323</v>
      </c>
      <c r="BS83" s="2">
        <v>44337</v>
      </c>
      <c r="BT83" s="3">
        <v>0.32847222222222222</v>
      </c>
      <c r="BU83" t="s">
        <v>325</v>
      </c>
      <c r="BV83" t="s">
        <v>77</v>
      </c>
      <c r="BY83">
        <v>1200</v>
      </c>
      <c r="BZ83" t="s">
        <v>84</v>
      </c>
      <c r="CA83" t="s">
        <v>110</v>
      </c>
      <c r="CC83" t="s">
        <v>86</v>
      </c>
      <c r="CD83">
        <v>2021</v>
      </c>
      <c r="CE83" t="s">
        <v>90</v>
      </c>
      <c r="CF83" s="2">
        <v>44338</v>
      </c>
      <c r="CI83">
        <v>1</v>
      </c>
      <c r="CJ83">
        <v>1</v>
      </c>
      <c r="CK83">
        <v>21</v>
      </c>
      <c r="CL83" t="s">
        <v>78</v>
      </c>
    </row>
    <row r="84" spans="1:90" x14ac:dyDescent="0.25">
      <c r="A84" t="s">
        <v>222</v>
      </c>
      <c r="B84" t="s">
        <v>223</v>
      </c>
      <c r="C84" t="s">
        <v>72</v>
      </c>
      <c r="E84" t="str">
        <f>"009940912250"</f>
        <v>009940912250</v>
      </c>
      <c r="F84" s="2">
        <v>44336</v>
      </c>
      <c r="G84">
        <v>202111</v>
      </c>
      <c r="H84" t="s">
        <v>81</v>
      </c>
      <c r="I84" t="s">
        <v>82</v>
      </c>
      <c r="J84" t="s">
        <v>242</v>
      </c>
      <c r="K84" t="s">
        <v>75</v>
      </c>
      <c r="L84" t="s">
        <v>94</v>
      </c>
      <c r="M84" t="s">
        <v>95</v>
      </c>
      <c r="N84" t="s">
        <v>426</v>
      </c>
      <c r="O84" t="s">
        <v>76</v>
      </c>
      <c r="P84" t="str">
        <f>"11912270 FM                   "</f>
        <v xml:space="preserve">11912270 FM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9.42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51.29</v>
      </c>
      <c r="BM84">
        <v>7.69</v>
      </c>
      <c r="BN84">
        <v>58.98</v>
      </c>
      <c r="BO84">
        <v>58.98</v>
      </c>
      <c r="BR84" t="s">
        <v>323</v>
      </c>
      <c r="BS84" s="2">
        <v>44337</v>
      </c>
      <c r="BT84" s="3">
        <v>0.40972222222222227</v>
      </c>
      <c r="BU84" t="s">
        <v>264</v>
      </c>
      <c r="BV84" t="s">
        <v>77</v>
      </c>
      <c r="BY84">
        <v>1200</v>
      </c>
      <c r="BZ84" t="s">
        <v>84</v>
      </c>
      <c r="CA84" t="s">
        <v>179</v>
      </c>
      <c r="CC84" t="s">
        <v>95</v>
      </c>
      <c r="CD84">
        <v>140</v>
      </c>
      <c r="CE84" t="s">
        <v>90</v>
      </c>
      <c r="CF84" s="2">
        <v>44337</v>
      </c>
      <c r="CI84">
        <v>1</v>
      </c>
      <c r="CJ84">
        <v>1</v>
      </c>
      <c r="CK84">
        <v>21</v>
      </c>
      <c r="CL84" t="s">
        <v>78</v>
      </c>
    </row>
    <row r="85" spans="1:90" x14ac:dyDescent="0.25">
      <c r="A85" t="s">
        <v>222</v>
      </c>
      <c r="B85" t="s">
        <v>223</v>
      </c>
      <c r="C85" t="s">
        <v>72</v>
      </c>
      <c r="E85" t="str">
        <f>"009940912251"</f>
        <v>009940912251</v>
      </c>
      <c r="F85" s="2">
        <v>44336</v>
      </c>
      <c r="G85">
        <v>202111</v>
      </c>
      <c r="H85" t="s">
        <v>81</v>
      </c>
      <c r="I85" t="s">
        <v>82</v>
      </c>
      <c r="J85" t="s">
        <v>242</v>
      </c>
      <c r="K85" t="s">
        <v>75</v>
      </c>
      <c r="L85" t="s">
        <v>101</v>
      </c>
      <c r="M85" t="s">
        <v>102</v>
      </c>
      <c r="N85" t="s">
        <v>427</v>
      </c>
      <c r="O85" t="s">
        <v>76</v>
      </c>
      <c r="P85" t="str">
        <f>"11912270 FM                   "</f>
        <v xml:space="preserve">11912270 FM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9.42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51.29</v>
      </c>
      <c r="BM85">
        <v>7.69</v>
      </c>
      <c r="BN85">
        <v>58.98</v>
      </c>
      <c r="BO85">
        <v>58.98</v>
      </c>
      <c r="BR85" t="s">
        <v>323</v>
      </c>
      <c r="BS85" s="2">
        <v>44337</v>
      </c>
      <c r="BT85" s="3">
        <v>0.44722222222222219</v>
      </c>
      <c r="BU85" t="s">
        <v>428</v>
      </c>
      <c r="BV85" t="s">
        <v>78</v>
      </c>
      <c r="BW85" t="s">
        <v>128</v>
      </c>
      <c r="BX85" t="s">
        <v>177</v>
      </c>
      <c r="BY85">
        <v>1200</v>
      </c>
      <c r="BZ85" t="s">
        <v>84</v>
      </c>
      <c r="CA85" t="s">
        <v>122</v>
      </c>
      <c r="CC85" t="s">
        <v>102</v>
      </c>
      <c r="CD85">
        <v>8000</v>
      </c>
      <c r="CE85" t="s">
        <v>90</v>
      </c>
      <c r="CF85" s="2">
        <v>44340</v>
      </c>
      <c r="CI85">
        <v>1</v>
      </c>
      <c r="CJ85">
        <v>1</v>
      </c>
      <c r="CK85">
        <v>21</v>
      </c>
      <c r="CL85" t="s">
        <v>78</v>
      </c>
    </row>
    <row r="86" spans="1:90" x14ac:dyDescent="0.25">
      <c r="A86" t="s">
        <v>222</v>
      </c>
      <c r="B86" t="s">
        <v>223</v>
      </c>
      <c r="C86" t="s">
        <v>72</v>
      </c>
      <c r="E86" t="str">
        <f>"009938634417"</f>
        <v>009938634417</v>
      </c>
      <c r="F86" s="2">
        <v>44336</v>
      </c>
      <c r="G86">
        <v>202111</v>
      </c>
      <c r="H86" t="s">
        <v>94</v>
      </c>
      <c r="I86" t="s">
        <v>95</v>
      </c>
      <c r="J86" t="s">
        <v>242</v>
      </c>
      <c r="K86" t="s">
        <v>75</v>
      </c>
      <c r="L86" t="s">
        <v>145</v>
      </c>
      <c r="M86" t="s">
        <v>146</v>
      </c>
      <c r="N86" t="s">
        <v>286</v>
      </c>
      <c r="O86" t="s">
        <v>130</v>
      </c>
      <c r="P86" t="str">
        <f>"NO REF.                       "</f>
        <v xml:space="preserve">NO REF.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13.25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77.13</v>
      </c>
      <c r="BM86">
        <v>11.57</v>
      </c>
      <c r="BN86">
        <v>88.7</v>
      </c>
      <c r="BO86">
        <v>88.7</v>
      </c>
      <c r="BQ86" t="s">
        <v>429</v>
      </c>
      <c r="BR86" t="s">
        <v>290</v>
      </c>
      <c r="BS86" s="2">
        <v>44337</v>
      </c>
      <c r="BT86" s="3">
        <v>0.35833333333333334</v>
      </c>
      <c r="BU86" t="s">
        <v>178</v>
      </c>
      <c r="BV86" t="s">
        <v>77</v>
      </c>
      <c r="BY86">
        <v>1200</v>
      </c>
      <c r="CA86" t="s">
        <v>203</v>
      </c>
      <c r="CC86" t="s">
        <v>146</v>
      </c>
      <c r="CD86">
        <v>742</v>
      </c>
      <c r="CE86" t="s">
        <v>106</v>
      </c>
      <c r="CF86" s="2">
        <v>44337</v>
      </c>
      <c r="CI86">
        <v>0</v>
      </c>
      <c r="CJ86">
        <v>0</v>
      </c>
      <c r="CK86" t="s">
        <v>132</v>
      </c>
      <c r="CL86" t="s">
        <v>78</v>
      </c>
    </row>
    <row r="87" spans="1:90" x14ac:dyDescent="0.25">
      <c r="A87" t="s">
        <v>222</v>
      </c>
      <c r="B87" t="s">
        <v>223</v>
      </c>
      <c r="C87" t="s">
        <v>72</v>
      </c>
      <c r="E87" t="str">
        <f>"009941483506"</f>
        <v>009941483506</v>
      </c>
      <c r="F87" s="2">
        <v>44336</v>
      </c>
      <c r="G87">
        <v>202111</v>
      </c>
      <c r="H87" t="s">
        <v>73</v>
      </c>
      <c r="I87" t="s">
        <v>74</v>
      </c>
      <c r="J87" t="s">
        <v>248</v>
      </c>
      <c r="K87" t="s">
        <v>75</v>
      </c>
      <c r="L87" t="s">
        <v>249</v>
      </c>
      <c r="M87" t="s">
        <v>249</v>
      </c>
      <c r="N87" t="s">
        <v>250</v>
      </c>
      <c r="O87" t="s">
        <v>130</v>
      </c>
      <c r="P87" t="str">
        <f>"462498 462500                 "</f>
        <v xml:space="preserve">462498 462500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39.22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26.4</v>
      </c>
      <c r="BJ87">
        <v>23.6</v>
      </c>
      <c r="BK87">
        <v>27</v>
      </c>
      <c r="BL87">
        <v>218.52</v>
      </c>
      <c r="BM87">
        <v>32.78</v>
      </c>
      <c r="BN87">
        <v>251.3</v>
      </c>
      <c r="BO87">
        <v>251.3</v>
      </c>
      <c r="BQ87" t="s">
        <v>251</v>
      </c>
      <c r="BR87" t="s">
        <v>252</v>
      </c>
      <c r="BS87" s="2">
        <v>44342</v>
      </c>
      <c r="BT87" s="3">
        <v>0.43472222222222223</v>
      </c>
      <c r="BU87" t="s">
        <v>430</v>
      </c>
      <c r="BV87" t="s">
        <v>78</v>
      </c>
      <c r="BW87" t="s">
        <v>111</v>
      </c>
      <c r="BX87" t="s">
        <v>112</v>
      </c>
      <c r="BY87">
        <v>118218.41</v>
      </c>
      <c r="CA87" t="s">
        <v>409</v>
      </c>
      <c r="CC87" t="s">
        <v>249</v>
      </c>
      <c r="CD87">
        <v>6836</v>
      </c>
      <c r="CE87" t="s">
        <v>90</v>
      </c>
      <c r="CF87" s="2">
        <v>44342</v>
      </c>
      <c r="CI87">
        <v>3</v>
      </c>
      <c r="CJ87">
        <v>4</v>
      </c>
      <c r="CK87" t="s">
        <v>140</v>
      </c>
      <c r="CL87" t="s">
        <v>78</v>
      </c>
    </row>
    <row r="88" spans="1:90" x14ac:dyDescent="0.25">
      <c r="A88" t="s">
        <v>222</v>
      </c>
      <c r="B88" t="s">
        <v>223</v>
      </c>
      <c r="C88" t="s">
        <v>72</v>
      </c>
      <c r="E88" t="str">
        <f>"009940487722"</f>
        <v>009940487722</v>
      </c>
      <c r="F88" s="2">
        <v>44336</v>
      </c>
      <c r="G88">
        <v>202111</v>
      </c>
      <c r="H88" t="s">
        <v>96</v>
      </c>
      <c r="I88" t="s">
        <v>97</v>
      </c>
      <c r="J88" t="s">
        <v>242</v>
      </c>
      <c r="K88" t="s">
        <v>75</v>
      </c>
      <c r="L88" t="s">
        <v>91</v>
      </c>
      <c r="M88" t="s">
        <v>92</v>
      </c>
      <c r="N88" t="s">
        <v>431</v>
      </c>
      <c r="O88" t="s">
        <v>130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23.47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7.7</v>
      </c>
      <c r="BJ88">
        <v>24</v>
      </c>
      <c r="BK88">
        <v>24</v>
      </c>
      <c r="BL88">
        <v>132.80000000000001</v>
      </c>
      <c r="BM88">
        <v>19.920000000000002</v>
      </c>
      <c r="BN88">
        <v>152.72</v>
      </c>
      <c r="BO88">
        <v>152.72</v>
      </c>
      <c r="BQ88" t="s">
        <v>432</v>
      </c>
      <c r="BR88" t="s">
        <v>433</v>
      </c>
      <c r="BS88" s="2">
        <v>44337</v>
      </c>
      <c r="BT88" s="3">
        <v>0.5395833333333333</v>
      </c>
      <c r="BU88" t="s">
        <v>434</v>
      </c>
      <c r="BV88" t="s">
        <v>77</v>
      </c>
      <c r="BY88">
        <v>120050</v>
      </c>
      <c r="CA88" t="s">
        <v>173</v>
      </c>
      <c r="CC88" t="s">
        <v>92</v>
      </c>
      <c r="CD88">
        <v>1683</v>
      </c>
      <c r="CE88" t="s">
        <v>90</v>
      </c>
      <c r="CF88" s="2">
        <v>44338</v>
      </c>
      <c r="CI88">
        <v>1</v>
      </c>
      <c r="CJ88">
        <v>1</v>
      </c>
      <c r="CK88" t="s">
        <v>161</v>
      </c>
      <c r="CL88" t="s">
        <v>78</v>
      </c>
    </row>
    <row r="89" spans="1:90" x14ac:dyDescent="0.25">
      <c r="A89" t="s">
        <v>222</v>
      </c>
      <c r="B89" t="s">
        <v>223</v>
      </c>
      <c r="C89" t="s">
        <v>72</v>
      </c>
      <c r="E89" t="str">
        <f>"009940641839"</f>
        <v>009940641839</v>
      </c>
      <c r="F89" s="2">
        <v>44320</v>
      </c>
      <c r="G89">
        <v>202111</v>
      </c>
      <c r="H89" t="s">
        <v>101</v>
      </c>
      <c r="I89" t="s">
        <v>102</v>
      </c>
      <c r="J89" t="s">
        <v>236</v>
      </c>
      <c r="K89" t="s">
        <v>75</v>
      </c>
      <c r="L89" t="s">
        <v>91</v>
      </c>
      <c r="M89" t="s">
        <v>92</v>
      </c>
      <c r="N89" t="s">
        <v>435</v>
      </c>
      <c r="O89" t="s">
        <v>76</v>
      </c>
      <c r="P89" t="str">
        <f>"JHB                           "</f>
        <v xml:space="preserve">JHB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46.71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8.4</v>
      </c>
      <c r="BJ89">
        <v>9.1</v>
      </c>
      <c r="BK89">
        <v>9.5</v>
      </c>
      <c r="BL89">
        <v>245.48</v>
      </c>
      <c r="BM89">
        <v>36.82</v>
      </c>
      <c r="BN89">
        <v>282.3</v>
      </c>
      <c r="BO89">
        <v>282.3</v>
      </c>
      <c r="BQ89" t="s">
        <v>436</v>
      </c>
      <c r="BR89" t="s">
        <v>239</v>
      </c>
      <c r="BS89" s="2">
        <v>44321</v>
      </c>
      <c r="BT89" s="3">
        <v>0.40347222222222223</v>
      </c>
      <c r="BU89" t="s">
        <v>437</v>
      </c>
      <c r="BV89" t="s">
        <v>77</v>
      </c>
      <c r="BY89">
        <v>45267.75</v>
      </c>
      <c r="BZ89" t="s">
        <v>84</v>
      </c>
      <c r="CA89" t="s">
        <v>127</v>
      </c>
      <c r="CC89" t="s">
        <v>92</v>
      </c>
      <c r="CD89">
        <v>1683</v>
      </c>
      <c r="CE89" t="s">
        <v>90</v>
      </c>
      <c r="CF89" s="2">
        <v>44321</v>
      </c>
      <c r="CI89">
        <v>1</v>
      </c>
      <c r="CJ89">
        <v>1</v>
      </c>
      <c r="CK89">
        <v>21</v>
      </c>
      <c r="CL89" t="s">
        <v>78</v>
      </c>
    </row>
    <row r="90" spans="1:90" x14ac:dyDescent="0.25">
      <c r="A90" t="s">
        <v>222</v>
      </c>
      <c r="B90" t="s">
        <v>223</v>
      </c>
      <c r="C90" t="s">
        <v>72</v>
      </c>
      <c r="E90" t="str">
        <f>"009940842058"</f>
        <v>009940842058</v>
      </c>
      <c r="F90" s="2">
        <v>44328</v>
      </c>
      <c r="G90">
        <v>202111</v>
      </c>
      <c r="H90" t="s">
        <v>103</v>
      </c>
      <c r="I90" t="s">
        <v>104</v>
      </c>
      <c r="J90" t="s">
        <v>438</v>
      </c>
      <c r="K90" t="s">
        <v>75</v>
      </c>
      <c r="L90" t="s">
        <v>81</v>
      </c>
      <c r="M90" t="s">
        <v>82</v>
      </c>
      <c r="N90" t="s">
        <v>438</v>
      </c>
      <c r="O90" t="s">
        <v>76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9.42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51.29</v>
      </c>
      <c r="BM90">
        <v>7.69</v>
      </c>
      <c r="BN90">
        <v>58.98</v>
      </c>
      <c r="BO90">
        <v>58.98</v>
      </c>
      <c r="BQ90" t="s">
        <v>439</v>
      </c>
      <c r="BR90" t="s">
        <v>440</v>
      </c>
      <c r="BS90" s="2">
        <v>44329</v>
      </c>
      <c r="BT90" s="3">
        <v>0.39583333333333331</v>
      </c>
      <c r="BU90" t="s">
        <v>441</v>
      </c>
      <c r="BV90" t="s">
        <v>77</v>
      </c>
      <c r="BY90">
        <v>1200</v>
      </c>
      <c r="BZ90" t="s">
        <v>84</v>
      </c>
      <c r="CA90" t="s">
        <v>123</v>
      </c>
      <c r="CC90" t="s">
        <v>82</v>
      </c>
      <c r="CD90">
        <v>6045</v>
      </c>
      <c r="CE90" t="s">
        <v>90</v>
      </c>
      <c r="CF90" s="2">
        <v>44329</v>
      </c>
      <c r="CI90">
        <v>1</v>
      </c>
      <c r="CJ90">
        <v>1</v>
      </c>
      <c r="CK90">
        <v>21</v>
      </c>
      <c r="CL90" t="s">
        <v>78</v>
      </c>
    </row>
    <row r="91" spans="1:90" x14ac:dyDescent="0.25">
      <c r="A91" t="s">
        <v>222</v>
      </c>
      <c r="B91" t="s">
        <v>223</v>
      </c>
      <c r="C91" t="s">
        <v>72</v>
      </c>
      <c r="E91" t="str">
        <f>"009940648426"</f>
        <v>009940648426</v>
      </c>
      <c r="F91" s="2">
        <v>44328</v>
      </c>
      <c r="G91">
        <v>202111</v>
      </c>
      <c r="H91" t="s">
        <v>101</v>
      </c>
      <c r="I91" t="s">
        <v>102</v>
      </c>
      <c r="J91" t="s">
        <v>236</v>
      </c>
      <c r="K91" t="s">
        <v>75</v>
      </c>
      <c r="L91" t="s">
        <v>87</v>
      </c>
      <c r="M91" t="s">
        <v>88</v>
      </c>
      <c r="N91" t="s">
        <v>442</v>
      </c>
      <c r="O91" t="s">
        <v>76</v>
      </c>
      <c r="P91" t="str">
        <f>"DBN                           "</f>
        <v xml:space="preserve">DBN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115.33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24.5</v>
      </c>
      <c r="BJ91">
        <v>21.9</v>
      </c>
      <c r="BK91">
        <v>24.5</v>
      </c>
      <c r="BL91">
        <v>627.9</v>
      </c>
      <c r="BM91">
        <v>94.19</v>
      </c>
      <c r="BN91">
        <v>722.09</v>
      </c>
      <c r="BO91">
        <v>722.09</v>
      </c>
      <c r="BQ91" t="s">
        <v>443</v>
      </c>
      <c r="BR91" t="s">
        <v>444</v>
      </c>
      <c r="BS91" s="2">
        <v>44329</v>
      </c>
      <c r="BT91" s="3">
        <v>0.62152777777777779</v>
      </c>
      <c r="BU91" t="s">
        <v>182</v>
      </c>
      <c r="BV91" t="s">
        <v>78</v>
      </c>
      <c r="BW91" t="s">
        <v>128</v>
      </c>
      <c r="BX91" t="s">
        <v>168</v>
      </c>
      <c r="BY91">
        <v>109504</v>
      </c>
      <c r="BZ91" t="s">
        <v>84</v>
      </c>
      <c r="CA91" t="s">
        <v>209</v>
      </c>
      <c r="CC91" t="s">
        <v>88</v>
      </c>
      <c r="CD91">
        <v>4300</v>
      </c>
      <c r="CE91" t="s">
        <v>90</v>
      </c>
      <c r="CF91" s="2">
        <v>44329</v>
      </c>
      <c r="CI91">
        <v>1</v>
      </c>
      <c r="CJ91">
        <v>1</v>
      </c>
      <c r="CK91">
        <v>21</v>
      </c>
      <c r="CL91" t="s">
        <v>78</v>
      </c>
    </row>
    <row r="92" spans="1:90" x14ac:dyDescent="0.25">
      <c r="A92" t="s">
        <v>222</v>
      </c>
      <c r="B92" t="s">
        <v>223</v>
      </c>
      <c r="C92" t="s">
        <v>72</v>
      </c>
      <c r="E92" t="str">
        <f>"009940912220"</f>
        <v>009940912220</v>
      </c>
      <c r="F92" s="2">
        <v>44328</v>
      </c>
      <c r="G92">
        <v>202111</v>
      </c>
      <c r="H92" t="s">
        <v>81</v>
      </c>
      <c r="I92" t="s">
        <v>82</v>
      </c>
      <c r="J92" t="s">
        <v>242</v>
      </c>
      <c r="K92" t="s">
        <v>75</v>
      </c>
      <c r="L92" t="s">
        <v>101</v>
      </c>
      <c r="M92" t="s">
        <v>102</v>
      </c>
      <c r="N92" t="s">
        <v>445</v>
      </c>
      <c r="O92" t="s">
        <v>76</v>
      </c>
      <c r="P92" t="str">
        <f>"11912270 FM                   "</f>
        <v xml:space="preserve">11912270 FM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9.42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51.29</v>
      </c>
      <c r="BM92">
        <v>7.69</v>
      </c>
      <c r="BN92">
        <v>58.98</v>
      </c>
      <c r="BO92">
        <v>58.98</v>
      </c>
      <c r="BQ92" t="s">
        <v>234</v>
      </c>
      <c r="BR92" t="s">
        <v>303</v>
      </c>
      <c r="BS92" s="2">
        <v>44330</v>
      </c>
      <c r="BT92" s="3">
        <v>0.4694444444444445</v>
      </c>
      <c r="BU92" t="s">
        <v>235</v>
      </c>
      <c r="BV92" t="s">
        <v>78</v>
      </c>
      <c r="BW92" t="s">
        <v>128</v>
      </c>
      <c r="BX92" t="s">
        <v>174</v>
      </c>
      <c r="BY92">
        <v>1200</v>
      </c>
      <c r="BZ92" t="s">
        <v>84</v>
      </c>
      <c r="CA92" t="s">
        <v>122</v>
      </c>
      <c r="CC92" t="s">
        <v>102</v>
      </c>
      <c r="CD92">
        <v>8000</v>
      </c>
      <c r="CE92" t="s">
        <v>90</v>
      </c>
      <c r="CF92" s="2">
        <v>44333</v>
      </c>
      <c r="CI92">
        <v>1</v>
      </c>
      <c r="CJ92">
        <v>2</v>
      </c>
      <c r="CK92">
        <v>21</v>
      </c>
      <c r="CL92" t="s">
        <v>78</v>
      </c>
    </row>
    <row r="93" spans="1:90" x14ac:dyDescent="0.25">
      <c r="A93" t="s">
        <v>222</v>
      </c>
      <c r="B93" t="s">
        <v>223</v>
      </c>
      <c r="C93" t="s">
        <v>72</v>
      </c>
      <c r="E93" t="str">
        <f>"009938822218"</f>
        <v>009938822218</v>
      </c>
      <c r="F93" s="2">
        <v>44328</v>
      </c>
      <c r="G93">
        <v>202111</v>
      </c>
      <c r="H93" t="s">
        <v>73</v>
      </c>
      <c r="I93" t="s">
        <v>74</v>
      </c>
      <c r="J93" t="s">
        <v>265</v>
      </c>
      <c r="K93" t="s">
        <v>75</v>
      </c>
      <c r="L93" t="s">
        <v>212</v>
      </c>
      <c r="M93" t="s">
        <v>213</v>
      </c>
      <c r="N93" t="s">
        <v>334</v>
      </c>
      <c r="O93" t="s">
        <v>76</v>
      </c>
      <c r="P93" t="str">
        <f>"...                           "</f>
        <v xml:space="preserve">...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9.42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51.29</v>
      </c>
      <c r="BM93">
        <v>7.69</v>
      </c>
      <c r="BN93">
        <v>58.98</v>
      </c>
      <c r="BO93">
        <v>58.98</v>
      </c>
      <c r="BQ93" t="s">
        <v>446</v>
      </c>
      <c r="BR93" t="s">
        <v>447</v>
      </c>
      <c r="BS93" s="2">
        <v>44329</v>
      </c>
      <c r="BT93" s="3">
        <v>0.41666666666666669</v>
      </c>
      <c r="BU93" t="s">
        <v>448</v>
      </c>
      <c r="BV93" t="s">
        <v>77</v>
      </c>
      <c r="BY93">
        <v>1200</v>
      </c>
      <c r="BZ93" t="s">
        <v>84</v>
      </c>
      <c r="CA93" t="s">
        <v>449</v>
      </c>
      <c r="CC93" t="s">
        <v>213</v>
      </c>
      <c r="CD93">
        <v>1200</v>
      </c>
      <c r="CE93" t="s">
        <v>90</v>
      </c>
      <c r="CF93" s="2">
        <v>44329</v>
      </c>
      <c r="CI93">
        <v>1</v>
      </c>
      <c r="CJ93">
        <v>1</v>
      </c>
      <c r="CK93">
        <v>21</v>
      </c>
      <c r="CL93" t="s">
        <v>78</v>
      </c>
    </row>
    <row r="94" spans="1:90" x14ac:dyDescent="0.25">
      <c r="A94" t="s">
        <v>222</v>
      </c>
      <c r="B94" t="s">
        <v>223</v>
      </c>
      <c r="C94" t="s">
        <v>72</v>
      </c>
      <c r="E94" t="str">
        <f>"009941061476"</f>
        <v>009941061476</v>
      </c>
      <c r="F94" s="2">
        <v>44328</v>
      </c>
      <c r="G94">
        <v>202111</v>
      </c>
      <c r="H94" t="s">
        <v>91</v>
      </c>
      <c r="I94" t="s">
        <v>92</v>
      </c>
      <c r="J94" t="s">
        <v>450</v>
      </c>
      <c r="K94" t="s">
        <v>75</v>
      </c>
      <c r="L94" t="s">
        <v>101</v>
      </c>
      <c r="M94" t="s">
        <v>102</v>
      </c>
      <c r="N94" t="s">
        <v>272</v>
      </c>
      <c r="O94" t="s">
        <v>133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163.41999999999999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14</v>
      </c>
      <c r="BJ94">
        <v>36.4</v>
      </c>
      <c r="BK94">
        <v>37</v>
      </c>
      <c r="BL94">
        <v>889.71</v>
      </c>
      <c r="BM94">
        <v>133.46</v>
      </c>
      <c r="BN94">
        <v>1023.17</v>
      </c>
      <c r="BO94">
        <v>1023.17</v>
      </c>
      <c r="BQ94" t="s">
        <v>451</v>
      </c>
      <c r="BR94" t="s">
        <v>375</v>
      </c>
      <c r="BS94" s="2">
        <v>44329</v>
      </c>
      <c r="BT94" s="3">
        <v>0.3972222222222222</v>
      </c>
      <c r="BU94" t="s">
        <v>275</v>
      </c>
      <c r="BV94" t="s">
        <v>77</v>
      </c>
      <c r="BY94">
        <v>182013.68</v>
      </c>
      <c r="BZ94" t="s">
        <v>156</v>
      </c>
      <c r="CA94" t="s">
        <v>147</v>
      </c>
      <c r="CC94" t="s">
        <v>102</v>
      </c>
      <c r="CD94">
        <v>7800</v>
      </c>
      <c r="CE94" t="s">
        <v>90</v>
      </c>
      <c r="CF94" s="2">
        <v>44330</v>
      </c>
      <c r="CI94">
        <v>1</v>
      </c>
      <c r="CJ94">
        <v>1</v>
      </c>
      <c r="CK94">
        <v>31</v>
      </c>
      <c r="CL94" t="s">
        <v>78</v>
      </c>
    </row>
    <row r="95" spans="1:90" x14ac:dyDescent="0.25">
      <c r="A95" t="s">
        <v>222</v>
      </c>
      <c r="B95" t="s">
        <v>223</v>
      </c>
      <c r="C95" t="s">
        <v>72</v>
      </c>
      <c r="E95" t="str">
        <f>"009940641821"</f>
        <v>009940641821</v>
      </c>
      <c r="F95" s="2">
        <v>44328</v>
      </c>
      <c r="G95">
        <v>202111</v>
      </c>
      <c r="H95" t="s">
        <v>101</v>
      </c>
      <c r="I95" t="s">
        <v>102</v>
      </c>
      <c r="J95" t="s">
        <v>236</v>
      </c>
      <c r="K95" t="s">
        <v>75</v>
      </c>
      <c r="L95" t="s">
        <v>87</v>
      </c>
      <c r="M95" t="s">
        <v>88</v>
      </c>
      <c r="N95" t="s">
        <v>354</v>
      </c>
      <c r="O95" t="s">
        <v>76</v>
      </c>
      <c r="P95" t="str">
        <f>"DURBAN                        "</f>
        <v xml:space="preserve">DURBAN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9.42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0.1</v>
      </c>
      <c r="BJ95">
        <v>0.5</v>
      </c>
      <c r="BK95">
        <v>0.5</v>
      </c>
      <c r="BL95">
        <v>51.29</v>
      </c>
      <c r="BM95">
        <v>7.69</v>
      </c>
      <c r="BN95">
        <v>58.98</v>
      </c>
      <c r="BO95">
        <v>58.98</v>
      </c>
      <c r="BQ95" t="s">
        <v>452</v>
      </c>
      <c r="BR95" t="s">
        <v>405</v>
      </c>
      <c r="BS95" s="2">
        <v>44329</v>
      </c>
      <c r="BT95" s="3">
        <v>0.62083333333333335</v>
      </c>
      <c r="BU95" t="s">
        <v>182</v>
      </c>
      <c r="BV95" t="s">
        <v>78</v>
      </c>
      <c r="BW95" t="s">
        <v>128</v>
      </c>
      <c r="BX95" t="s">
        <v>168</v>
      </c>
      <c r="BY95">
        <v>2597.9499999999998</v>
      </c>
      <c r="BZ95" t="s">
        <v>84</v>
      </c>
      <c r="CA95" t="s">
        <v>209</v>
      </c>
      <c r="CC95" t="s">
        <v>88</v>
      </c>
      <c r="CD95">
        <v>4300</v>
      </c>
      <c r="CE95" t="s">
        <v>90</v>
      </c>
      <c r="CF95" s="2">
        <v>44329</v>
      </c>
      <c r="CI95">
        <v>1</v>
      </c>
      <c r="CJ95">
        <v>1</v>
      </c>
      <c r="CK95">
        <v>21</v>
      </c>
      <c r="CL95" t="s">
        <v>78</v>
      </c>
    </row>
    <row r="96" spans="1:90" x14ac:dyDescent="0.25">
      <c r="A96" t="s">
        <v>222</v>
      </c>
      <c r="B96" t="s">
        <v>223</v>
      </c>
      <c r="C96" t="s">
        <v>72</v>
      </c>
      <c r="E96" t="str">
        <f>"009941483503"</f>
        <v>009941483503</v>
      </c>
      <c r="F96" s="2">
        <v>44336</v>
      </c>
      <c r="G96">
        <v>202111</v>
      </c>
      <c r="H96" t="s">
        <v>73</v>
      </c>
      <c r="I96" t="s">
        <v>74</v>
      </c>
      <c r="J96" t="s">
        <v>453</v>
      </c>
      <c r="K96" t="s">
        <v>75</v>
      </c>
      <c r="L96" t="s">
        <v>103</v>
      </c>
      <c r="M96" t="s">
        <v>104</v>
      </c>
      <c r="N96" t="s">
        <v>294</v>
      </c>
      <c r="O96" t="s">
        <v>130</v>
      </c>
      <c r="P96" t="str">
        <f>"462346 462336 462551          "</f>
        <v xml:space="preserve">462346 462336 462551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246.46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180</v>
      </c>
      <c r="BJ96">
        <v>48.5</v>
      </c>
      <c r="BK96">
        <v>180</v>
      </c>
      <c r="BL96">
        <v>1346.82</v>
      </c>
      <c r="BM96">
        <v>202.02</v>
      </c>
      <c r="BN96">
        <v>1548.84</v>
      </c>
      <c r="BO96">
        <v>1548.84</v>
      </c>
      <c r="BQ96" t="s">
        <v>194</v>
      </c>
      <c r="BR96" t="s">
        <v>252</v>
      </c>
      <c r="BS96" s="2">
        <v>44341</v>
      </c>
      <c r="BT96" s="3">
        <v>0.40416666666666662</v>
      </c>
      <c r="BU96" t="s">
        <v>155</v>
      </c>
      <c r="BV96" t="s">
        <v>78</v>
      </c>
      <c r="BW96" t="s">
        <v>126</v>
      </c>
      <c r="BX96" t="s">
        <v>186</v>
      </c>
      <c r="BY96">
        <v>242550</v>
      </c>
      <c r="CC96" t="s">
        <v>104</v>
      </c>
      <c r="CD96">
        <v>6529</v>
      </c>
      <c r="CE96" t="s">
        <v>90</v>
      </c>
      <c r="CF96" s="2">
        <v>44342</v>
      </c>
      <c r="CI96">
        <v>0</v>
      </c>
      <c r="CJ96">
        <v>0</v>
      </c>
      <c r="CK96" t="s">
        <v>140</v>
      </c>
      <c r="CL96" t="s">
        <v>78</v>
      </c>
    </row>
    <row r="97" spans="1:90" x14ac:dyDescent="0.25">
      <c r="A97" t="s">
        <v>222</v>
      </c>
      <c r="B97" t="s">
        <v>223</v>
      </c>
      <c r="C97" t="s">
        <v>72</v>
      </c>
      <c r="E97" t="str">
        <f>"009940641803"</f>
        <v>009940641803</v>
      </c>
      <c r="F97" s="2">
        <v>44335</v>
      </c>
      <c r="G97">
        <v>202111</v>
      </c>
      <c r="H97" t="s">
        <v>101</v>
      </c>
      <c r="I97" t="s">
        <v>102</v>
      </c>
      <c r="J97" t="s">
        <v>236</v>
      </c>
      <c r="K97" t="s">
        <v>75</v>
      </c>
      <c r="L97" t="s">
        <v>91</v>
      </c>
      <c r="M97" t="s">
        <v>92</v>
      </c>
      <c r="N97" t="s">
        <v>435</v>
      </c>
      <c r="O97" t="s">
        <v>76</v>
      </c>
      <c r="P97" t="str">
        <f>"JHB                           "</f>
        <v xml:space="preserve">JHB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313.02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66.5</v>
      </c>
      <c r="BJ97">
        <v>45.2</v>
      </c>
      <c r="BK97">
        <v>66.5</v>
      </c>
      <c r="BL97">
        <v>1704.23</v>
      </c>
      <c r="BM97">
        <v>255.63</v>
      </c>
      <c r="BN97">
        <v>1959.86</v>
      </c>
      <c r="BO97">
        <v>1959.86</v>
      </c>
      <c r="BQ97" t="s">
        <v>454</v>
      </c>
      <c r="BR97" t="s">
        <v>239</v>
      </c>
      <c r="BS97" s="2">
        <v>44336</v>
      </c>
      <c r="BT97" s="3">
        <v>0.37916666666666665</v>
      </c>
      <c r="BU97" t="s">
        <v>455</v>
      </c>
      <c r="BV97" t="s">
        <v>77</v>
      </c>
      <c r="BY97">
        <v>225975.82</v>
      </c>
      <c r="BZ97" t="s">
        <v>84</v>
      </c>
      <c r="CA97" t="s">
        <v>173</v>
      </c>
      <c r="CC97" t="s">
        <v>92</v>
      </c>
      <c r="CD97">
        <v>1683</v>
      </c>
      <c r="CE97" t="s">
        <v>90</v>
      </c>
      <c r="CF97" s="2">
        <v>44337</v>
      </c>
      <c r="CI97">
        <v>1</v>
      </c>
      <c r="CJ97">
        <v>1</v>
      </c>
      <c r="CK97">
        <v>21</v>
      </c>
      <c r="CL97" t="s">
        <v>78</v>
      </c>
    </row>
    <row r="98" spans="1:90" x14ac:dyDescent="0.25">
      <c r="A98" t="s">
        <v>222</v>
      </c>
      <c r="B98" t="s">
        <v>223</v>
      </c>
      <c r="C98" t="s">
        <v>72</v>
      </c>
      <c r="E98" t="str">
        <f>"009941483508"</f>
        <v>009941483508</v>
      </c>
      <c r="F98" s="2">
        <v>44337</v>
      </c>
      <c r="G98">
        <v>202111</v>
      </c>
      <c r="H98" t="s">
        <v>73</v>
      </c>
      <c r="I98" t="s">
        <v>74</v>
      </c>
      <c r="J98" t="s">
        <v>248</v>
      </c>
      <c r="K98" t="s">
        <v>75</v>
      </c>
      <c r="L98" t="s">
        <v>249</v>
      </c>
      <c r="M98" t="s">
        <v>249</v>
      </c>
      <c r="N98" t="s">
        <v>408</v>
      </c>
      <c r="O98" t="s">
        <v>130</v>
      </c>
      <c r="P98" t="str">
        <f>"462638 462639 462640          "</f>
        <v xml:space="preserve">462638 462639 462640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327.73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135</v>
      </c>
      <c r="BJ98">
        <v>239.4</v>
      </c>
      <c r="BK98">
        <v>240</v>
      </c>
      <c r="BL98">
        <v>1789.29</v>
      </c>
      <c r="BM98">
        <v>268.39</v>
      </c>
      <c r="BN98">
        <v>2057.6799999999998</v>
      </c>
      <c r="BO98">
        <v>2057.6799999999998</v>
      </c>
      <c r="BQ98" t="s">
        <v>251</v>
      </c>
      <c r="BR98" t="s">
        <v>252</v>
      </c>
      <c r="BS98" s="2">
        <v>44342</v>
      </c>
      <c r="BT98" s="3">
        <v>0.43472222222222223</v>
      </c>
      <c r="BU98" t="s">
        <v>430</v>
      </c>
      <c r="BV98" t="s">
        <v>77</v>
      </c>
      <c r="BY98">
        <v>1197000</v>
      </c>
      <c r="CA98" t="s">
        <v>409</v>
      </c>
      <c r="CC98" t="s">
        <v>249</v>
      </c>
      <c r="CD98">
        <v>6836</v>
      </c>
      <c r="CE98" t="s">
        <v>90</v>
      </c>
      <c r="CF98" s="2">
        <v>44342</v>
      </c>
      <c r="CI98">
        <v>3</v>
      </c>
      <c r="CJ98">
        <v>3</v>
      </c>
      <c r="CK98" t="s">
        <v>140</v>
      </c>
      <c r="CL98" t="s">
        <v>78</v>
      </c>
    </row>
    <row r="99" spans="1:90" x14ac:dyDescent="0.25">
      <c r="A99" t="s">
        <v>222</v>
      </c>
      <c r="B99" t="s">
        <v>223</v>
      </c>
      <c r="C99" t="s">
        <v>72</v>
      </c>
      <c r="E99" t="str">
        <f>"009941020937"</f>
        <v>009941020937</v>
      </c>
      <c r="F99" s="2">
        <v>44337</v>
      </c>
      <c r="G99">
        <v>202111</v>
      </c>
      <c r="H99" t="s">
        <v>81</v>
      </c>
      <c r="I99" t="s">
        <v>82</v>
      </c>
      <c r="J99" t="s">
        <v>236</v>
      </c>
      <c r="K99" t="s">
        <v>75</v>
      </c>
      <c r="L99" t="s">
        <v>91</v>
      </c>
      <c r="M99" t="s">
        <v>92</v>
      </c>
      <c r="N99" t="s">
        <v>365</v>
      </c>
      <c r="O99" t="s">
        <v>130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65.53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20</v>
      </c>
      <c r="BJ99">
        <v>70.400000000000006</v>
      </c>
      <c r="BK99">
        <v>71</v>
      </c>
      <c r="BL99">
        <v>361.76</v>
      </c>
      <c r="BM99">
        <v>54.26</v>
      </c>
      <c r="BN99">
        <v>416.02</v>
      </c>
      <c r="BO99">
        <v>416.02</v>
      </c>
      <c r="BQ99" t="s">
        <v>366</v>
      </c>
      <c r="BR99" t="s">
        <v>258</v>
      </c>
      <c r="BS99" s="2">
        <v>44340</v>
      </c>
      <c r="BT99" s="3">
        <v>0.46597222222222223</v>
      </c>
      <c r="BU99" t="s">
        <v>456</v>
      </c>
      <c r="BV99" t="s">
        <v>77</v>
      </c>
      <c r="BY99">
        <v>88000</v>
      </c>
      <c r="CA99" t="s">
        <v>173</v>
      </c>
      <c r="CC99" t="s">
        <v>92</v>
      </c>
      <c r="CD99">
        <v>1682</v>
      </c>
      <c r="CE99" t="s">
        <v>90</v>
      </c>
      <c r="CF99" s="2">
        <v>44340</v>
      </c>
      <c r="CI99">
        <v>2</v>
      </c>
      <c r="CJ99">
        <v>1</v>
      </c>
      <c r="CK99" t="s">
        <v>134</v>
      </c>
      <c r="CL99" t="s">
        <v>78</v>
      </c>
    </row>
    <row r="100" spans="1:90" x14ac:dyDescent="0.25">
      <c r="A100" t="s">
        <v>222</v>
      </c>
      <c r="B100" t="s">
        <v>223</v>
      </c>
      <c r="C100" t="s">
        <v>72</v>
      </c>
      <c r="E100" t="str">
        <f>"009940641817"</f>
        <v>009940641817</v>
      </c>
      <c r="F100" s="2">
        <v>44337</v>
      </c>
      <c r="G100">
        <v>202111</v>
      </c>
      <c r="H100" t="s">
        <v>101</v>
      </c>
      <c r="I100" t="s">
        <v>102</v>
      </c>
      <c r="J100" t="s">
        <v>236</v>
      </c>
      <c r="K100" t="s">
        <v>75</v>
      </c>
      <c r="L100" t="s">
        <v>96</v>
      </c>
      <c r="M100" t="s">
        <v>97</v>
      </c>
      <c r="N100" t="s">
        <v>236</v>
      </c>
      <c r="O100" t="s">
        <v>130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58.1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61.2</v>
      </c>
      <c r="BJ100">
        <v>53.6</v>
      </c>
      <c r="BK100">
        <v>62</v>
      </c>
      <c r="BL100">
        <v>321.3</v>
      </c>
      <c r="BM100">
        <v>48.2</v>
      </c>
      <c r="BN100">
        <v>369.5</v>
      </c>
      <c r="BO100">
        <v>369.5</v>
      </c>
      <c r="BQ100" t="s">
        <v>457</v>
      </c>
      <c r="BR100" t="s">
        <v>239</v>
      </c>
      <c r="BS100" s="2">
        <v>44340</v>
      </c>
      <c r="BT100" s="3">
        <v>0.38541666666666669</v>
      </c>
      <c r="BU100" t="s">
        <v>369</v>
      </c>
      <c r="BV100" t="s">
        <v>77</v>
      </c>
      <c r="BY100">
        <v>267798.93</v>
      </c>
      <c r="CA100" t="s">
        <v>89</v>
      </c>
      <c r="CC100" t="s">
        <v>97</v>
      </c>
      <c r="CD100">
        <v>4001</v>
      </c>
      <c r="CE100" t="s">
        <v>90</v>
      </c>
      <c r="CF100" s="2">
        <v>44340</v>
      </c>
      <c r="CI100">
        <v>2</v>
      </c>
      <c r="CJ100">
        <v>1</v>
      </c>
      <c r="CK100" t="s">
        <v>134</v>
      </c>
      <c r="CL100" t="s">
        <v>78</v>
      </c>
    </row>
    <row r="101" spans="1:90" x14ac:dyDescent="0.25">
      <c r="A101" t="s">
        <v>222</v>
      </c>
      <c r="B101" t="s">
        <v>223</v>
      </c>
      <c r="C101" t="s">
        <v>72</v>
      </c>
      <c r="E101" t="str">
        <f>"009940641834"</f>
        <v>009940641834</v>
      </c>
      <c r="F101" s="2">
        <v>44334</v>
      </c>
      <c r="G101">
        <v>202111</v>
      </c>
      <c r="H101" t="s">
        <v>101</v>
      </c>
      <c r="I101" t="s">
        <v>102</v>
      </c>
      <c r="J101" t="s">
        <v>236</v>
      </c>
      <c r="K101" t="s">
        <v>75</v>
      </c>
      <c r="L101" t="s">
        <v>87</v>
      </c>
      <c r="M101" t="s">
        <v>88</v>
      </c>
      <c r="N101" t="s">
        <v>236</v>
      </c>
      <c r="O101" t="s">
        <v>130</v>
      </c>
      <c r="P101" t="str">
        <f>"MT CPT                        "</f>
        <v xml:space="preserve">MT CPT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19.28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1.1000000000000001</v>
      </c>
      <c r="BJ101">
        <v>3.1</v>
      </c>
      <c r="BK101">
        <v>4</v>
      </c>
      <c r="BL101">
        <v>109.99</v>
      </c>
      <c r="BM101">
        <v>16.5</v>
      </c>
      <c r="BN101">
        <v>126.49</v>
      </c>
      <c r="BO101">
        <v>126.49</v>
      </c>
      <c r="BQ101" t="s">
        <v>443</v>
      </c>
      <c r="BR101" t="s">
        <v>239</v>
      </c>
      <c r="BS101" s="2">
        <v>44336</v>
      </c>
      <c r="BT101" s="3">
        <v>0.36874999999999997</v>
      </c>
      <c r="BU101" t="s">
        <v>458</v>
      </c>
      <c r="BV101" t="s">
        <v>77</v>
      </c>
      <c r="BY101">
        <v>15674.75</v>
      </c>
      <c r="CA101" t="s">
        <v>89</v>
      </c>
      <c r="CC101" t="s">
        <v>88</v>
      </c>
      <c r="CD101">
        <v>4300</v>
      </c>
      <c r="CE101" t="s">
        <v>90</v>
      </c>
      <c r="CF101" s="2">
        <v>44336</v>
      </c>
      <c r="CI101">
        <v>2</v>
      </c>
      <c r="CJ101">
        <v>2</v>
      </c>
      <c r="CK101" t="s">
        <v>134</v>
      </c>
      <c r="CL101" t="s">
        <v>78</v>
      </c>
    </row>
    <row r="102" spans="1:90" x14ac:dyDescent="0.25">
      <c r="A102" t="s">
        <v>222</v>
      </c>
      <c r="B102" t="s">
        <v>223</v>
      </c>
      <c r="C102" t="s">
        <v>72</v>
      </c>
      <c r="E102" t="str">
        <f>"009940641833"</f>
        <v>009940641833</v>
      </c>
      <c r="F102" s="2">
        <v>44334</v>
      </c>
      <c r="G102">
        <v>202111</v>
      </c>
      <c r="H102" t="s">
        <v>101</v>
      </c>
      <c r="I102" t="s">
        <v>102</v>
      </c>
      <c r="J102" t="s">
        <v>236</v>
      </c>
      <c r="K102" t="s">
        <v>75</v>
      </c>
      <c r="L102" t="s">
        <v>81</v>
      </c>
      <c r="M102" t="s">
        <v>82</v>
      </c>
      <c r="N102" t="s">
        <v>459</v>
      </c>
      <c r="O102" t="s">
        <v>130</v>
      </c>
      <c r="P102" t="str">
        <f>"MT CPT                        "</f>
        <v xml:space="preserve">MT CPT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19.13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2.8</v>
      </c>
      <c r="BK102">
        <v>3</v>
      </c>
      <c r="BL102">
        <v>109.17</v>
      </c>
      <c r="BM102">
        <v>16.38</v>
      </c>
      <c r="BN102">
        <v>125.55</v>
      </c>
      <c r="BO102">
        <v>125.55</v>
      </c>
      <c r="BQ102" t="s">
        <v>218</v>
      </c>
      <c r="BR102" t="s">
        <v>239</v>
      </c>
      <c r="BS102" s="2">
        <v>44336</v>
      </c>
      <c r="BT102" s="3">
        <v>0.38194444444444442</v>
      </c>
      <c r="BU102" t="s">
        <v>403</v>
      </c>
      <c r="BV102" t="s">
        <v>77</v>
      </c>
      <c r="BY102">
        <v>13896.48</v>
      </c>
      <c r="CA102" t="s">
        <v>143</v>
      </c>
      <c r="CC102" t="s">
        <v>82</v>
      </c>
      <c r="CD102">
        <v>6001</v>
      </c>
      <c r="CE102" t="s">
        <v>90</v>
      </c>
      <c r="CF102" s="2">
        <v>44336</v>
      </c>
      <c r="CI102">
        <v>2</v>
      </c>
      <c r="CJ102">
        <v>2</v>
      </c>
      <c r="CK102" t="s">
        <v>190</v>
      </c>
      <c r="CL102" t="s">
        <v>78</v>
      </c>
    </row>
    <row r="103" spans="1:90" x14ac:dyDescent="0.25">
      <c r="A103" t="s">
        <v>222</v>
      </c>
      <c r="B103" t="s">
        <v>223</v>
      </c>
      <c r="C103" t="s">
        <v>72</v>
      </c>
      <c r="E103" t="str">
        <f>"009940641819"</f>
        <v>009940641819</v>
      </c>
      <c r="F103" s="2">
        <v>44334</v>
      </c>
      <c r="G103">
        <v>202111</v>
      </c>
      <c r="H103" t="s">
        <v>101</v>
      </c>
      <c r="I103" t="s">
        <v>102</v>
      </c>
      <c r="J103" t="s">
        <v>236</v>
      </c>
      <c r="K103" t="s">
        <v>75</v>
      </c>
      <c r="L103" t="s">
        <v>87</v>
      </c>
      <c r="M103" t="s">
        <v>88</v>
      </c>
      <c r="N103" t="s">
        <v>442</v>
      </c>
      <c r="O103" t="s">
        <v>130</v>
      </c>
      <c r="P103" t="str">
        <f>"CPT                           "</f>
        <v xml:space="preserve">CPT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19.28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1.1000000000000001</v>
      </c>
      <c r="BK103">
        <v>1</v>
      </c>
      <c r="BL103">
        <v>109.99</v>
      </c>
      <c r="BM103">
        <v>16.5</v>
      </c>
      <c r="BN103">
        <v>126.49</v>
      </c>
      <c r="BO103">
        <v>126.49</v>
      </c>
      <c r="BQ103" t="s">
        <v>165</v>
      </c>
      <c r="BR103" t="s">
        <v>460</v>
      </c>
      <c r="BS103" s="2">
        <v>44336</v>
      </c>
      <c r="BT103" s="3">
        <v>0.36874999999999997</v>
      </c>
      <c r="BU103" t="s">
        <v>458</v>
      </c>
      <c r="BV103" t="s">
        <v>77</v>
      </c>
      <c r="BY103">
        <v>5445.62</v>
      </c>
      <c r="CA103" t="s">
        <v>89</v>
      </c>
      <c r="CC103" t="s">
        <v>88</v>
      </c>
      <c r="CD103">
        <v>4300</v>
      </c>
      <c r="CE103" t="s">
        <v>90</v>
      </c>
      <c r="CF103" s="2">
        <v>44336</v>
      </c>
      <c r="CI103">
        <v>2</v>
      </c>
      <c r="CJ103">
        <v>2</v>
      </c>
      <c r="CK103" t="s">
        <v>134</v>
      </c>
      <c r="CL103" t="s">
        <v>78</v>
      </c>
    </row>
    <row r="104" spans="1:90" x14ac:dyDescent="0.25">
      <c r="A104" t="s">
        <v>222</v>
      </c>
      <c r="B104" t="s">
        <v>223</v>
      </c>
      <c r="C104" t="s">
        <v>72</v>
      </c>
      <c r="E104" t="str">
        <f>"009940842057"</f>
        <v>009940842057</v>
      </c>
      <c r="F104" s="2">
        <v>44329</v>
      </c>
      <c r="G104">
        <v>202111</v>
      </c>
      <c r="H104" t="s">
        <v>103</v>
      </c>
      <c r="I104" t="s">
        <v>104</v>
      </c>
      <c r="J104" t="s">
        <v>461</v>
      </c>
      <c r="K104" t="s">
        <v>75</v>
      </c>
      <c r="L104" t="s">
        <v>81</v>
      </c>
      <c r="M104" t="s">
        <v>82</v>
      </c>
      <c r="N104" t="s">
        <v>461</v>
      </c>
      <c r="O104" t="s">
        <v>76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9.42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1.7</v>
      </c>
      <c r="BJ104">
        <v>0.2</v>
      </c>
      <c r="BK104">
        <v>2</v>
      </c>
      <c r="BL104">
        <v>51.29</v>
      </c>
      <c r="BM104">
        <v>7.69</v>
      </c>
      <c r="BN104">
        <v>58.98</v>
      </c>
      <c r="BO104">
        <v>58.98</v>
      </c>
      <c r="BQ104" t="s">
        <v>462</v>
      </c>
      <c r="BR104" t="s">
        <v>463</v>
      </c>
      <c r="BS104" s="2">
        <v>44333</v>
      </c>
      <c r="BT104" s="3">
        <v>0.4201388888888889</v>
      </c>
      <c r="BU104" t="s">
        <v>464</v>
      </c>
      <c r="BV104" t="s">
        <v>78</v>
      </c>
      <c r="BW104" t="s">
        <v>128</v>
      </c>
      <c r="BX104" t="s">
        <v>129</v>
      </c>
      <c r="BY104">
        <v>1200</v>
      </c>
      <c r="BZ104" t="s">
        <v>84</v>
      </c>
      <c r="CA104" t="s">
        <v>123</v>
      </c>
      <c r="CC104" t="s">
        <v>82</v>
      </c>
      <c r="CD104">
        <v>6045</v>
      </c>
      <c r="CE104" t="s">
        <v>90</v>
      </c>
      <c r="CF104" s="2">
        <v>44333</v>
      </c>
      <c r="CI104">
        <v>1</v>
      </c>
      <c r="CJ104">
        <v>2</v>
      </c>
      <c r="CK104">
        <v>21</v>
      </c>
      <c r="CL104" t="s">
        <v>78</v>
      </c>
    </row>
    <row r="105" spans="1:90" x14ac:dyDescent="0.25">
      <c r="A105" t="s">
        <v>222</v>
      </c>
      <c r="B105" t="s">
        <v>223</v>
      </c>
      <c r="C105" t="s">
        <v>72</v>
      </c>
      <c r="E105" t="str">
        <f>"009940127168"</f>
        <v>009940127168</v>
      </c>
      <c r="F105" s="2">
        <v>44337</v>
      </c>
      <c r="G105">
        <v>202111</v>
      </c>
      <c r="H105" t="s">
        <v>85</v>
      </c>
      <c r="I105" t="s">
        <v>86</v>
      </c>
      <c r="J105" t="s">
        <v>465</v>
      </c>
      <c r="K105" t="s">
        <v>75</v>
      </c>
      <c r="L105" t="s">
        <v>166</v>
      </c>
      <c r="M105" t="s">
        <v>167</v>
      </c>
      <c r="N105" t="s">
        <v>466</v>
      </c>
      <c r="O105" t="s">
        <v>76</v>
      </c>
      <c r="P105" t="str">
        <f>"11005506HR 460040             "</f>
        <v xml:space="preserve">11005506HR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18.25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99.37</v>
      </c>
      <c r="BM105">
        <v>14.91</v>
      </c>
      <c r="BN105">
        <v>114.28</v>
      </c>
      <c r="BO105">
        <v>114.28</v>
      </c>
      <c r="BQ105" t="s">
        <v>467</v>
      </c>
      <c r="BR105" t="s">
        <v>468</v>
      </c>
      <c r="BS105" s="2">
        <v>44341</v>
      </c>
      <c r="BT105" s="3">
        <v>0.44097222222222227</v>
      </c>
      <c r="BU105" t="s">
        <v>469</v>
      </c>
      <c r="BV105" t="s">
        <v>77</v>
      </c>
      <c r="BY105">
        <v>1200</v>
      </c>
      <c r="BZ105" t="s">
        <v>84</v>
      </c>
      <c r="CA105" t="s">
        <v>189</v>
      </c>
      <c r="CC105" t="s">
        <v>167</v>
      </c>
      <c r="CD105">
        <v>7220</v>
      </c>
      <c r="CE105" t="s">
        <v>90</v>
      </c>
      <c r="CF105" s="2">
        <v>44344</v>
      </c>
      <c r="CI105">
        <v>3</v>
      </c>
      <c r="CJ105">
        <v>2</v>
      </c>
      <c r="CK105">
        <v>23</v>
      </c>
      <c r="CL105" t="s">
        <v>78</v>
      </c>
    </row>
    <row r="106" spans="1:90" x14ac:dyDescent="0.25">
      <c r="A106" t="s">
        <v>222</v>
      </c>
      <c r="B106" t="s">
        <v>223</v>
      </c>
      <c r="C106" t="s">
        <v>72</v>
      </c>
      <c r="E106" t="str">
        <f>"009940127169"</f>
        <v>009940127169</v>
      </c>
      <c r="F106" s="2">
        <v>44337</v>
      </c>
      <c r="G106">
        <v>202111</v>
      </c>
      <c r="H106" t="s">
        <v>85</v>
      </c>
      <c r="I106" t="s">
        <v>86</v>
      </c>
      <c r="J106" t="s">
        <v>465</v>
      </c>
      <c r="K106" t="s">
        <v>75</v>
      </c>
      <c r="L106" t="s">
        <v>187</v>
      </c>
      <c r="M106" t="s">
        <v>188</v>
      </c>
      <c r="N106" t="s">
        <v>466</v>
      </c>
      <c r="O106" t="s">
        <v>76</v>
      </c>
      <c r="P106" t="str">
        <f>"11005506HR 460040             "</f>
        <v xml:space="preserve">11005506HR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18.25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99.37</v>
      </c>
      <c r="BM106">
        <v>14.91</v>
      </c>
      <c r="BN106">
        <v>114.28</v>
      </c>
      <c r="BO106">
        <v>114.28</v>
      </c>
      <c r="BQ106" t="s">
        <v>467</v>
      </c>
      <c r="BR106" t="s">
        <v>468</v>
      </c>
      <c r="BS106" s="2">
        <v>44341</v>
      </c>
      <c r="BT106" s="3">
        <v>0.61319444444444449</v>
      </c>
      <c r="BU106" t="s">
        <v>470</v>
      </c>
      <c r="BV106" t="s">
        <v>77</v>
      </c>
      <c r="BY106">
        <v>1200</v>
      </c>
      <c r="BZ106" t="s">
        <v>84</v>
      </c>
      <c r="CA106" t="s">
        <v>189</v>
      </c>
      <c r="CC106" t="s">
        <v>188</v>
      </c>
      <c r="CD106">
        <v>7200</v>
      </c>
      <c r="CE106" t="s">
        <v>90</v>
      </c>
      <c r="CF106" s="2">
        <v>44342</v>
      </c>
      <c r="CI106">
        <v>3</v>
      </c>
      <c r="CJ106">
        <v>2</v>
      </c>
      <c r="CK106">
        <v>23</v>
      </c>
      <c r="CL106" t="s">
        <v>78</v>
      </c>
    </row>
    <row r="107" spans="1:90" x14ac:dyDescent="0.25">
      <c r="A107" t="s">
        <v>222</v>
      </c>
      <c r="B107" t="s">
        <v>223</v>
      </c>
      <c r="C107" t="s">
        <v>72</v>
      </c>
      <c r="E107" t="str">
        <f>"009939486916"</f>
        <v>009939486916</v>
      </c>
      <c r="F107" s="2">
        <v>44337</v>
      </c>
      <c r="G107">
        <v>202111</v>
      </c>
      <c r="H107" t="s">
        <v>73</v>
      </c>
      <c r="I107" t="s">
        <v>74</v>
      </c>
      <c r="J107" t="s">
        <v>286</v>
      </c>
      <c r="K107" t="s">
        <v>75</v>
      </c>
      <c r="L107" t="s">
        <v>101</v>
      </c>
      <c r="M107" t="s">
        <v>102</v>
      </c>
      <c r="N107" t="s">
        <v>471</v>
      </c>
      <c r="O107" t="s">
        <v>76</v>
      </c>
      <c r="P107" t="str">
        <f>"...                           "</f>
        <v xml:space="preserve">...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9.42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51.29</v>
      </c>
      <c r="BM107">
        <v>7.69</v>
      </c>
      <c r="BN107">
        <v>58.98</v>
      </c>
      <c r="BO107">
        <v>58.98</v>
      </c>
      <c r="BQ107" t="s">
        <v>234</v>
      </c>
      <c r="BR107" t="s">
        <v>170</v>
      </c>
      <c r="BS107" s="2">
        <v>44340</v>
      </c>
      <c r="BT107" s="3">
        <v>0.4909722222222222</v>
      </c>
      <c r="BU107" t="s">
        <v>277</v>
      </c>
      <c r="BV107" t="s">
        <v>78</v>
      </c>
      <c r="BW107" t="s">
        <v>128</v>
      </c>
      <c r="BX107" t="s">
        <v>164</v>
      </c>
      <c r="BY107">
        <v>1200</v>
      </c>
      <c r="BZ107" t="s">
        <v>84</v>
      </c>
      <c r="CA107" t="s">
        <v>122</v>
      </c>
      <c r="CC107" t="s">
        <v>102</v>
      </c>
      <c r="CD107">
        <v>8000</v>
      </c>
      <c r="CE107" t="s">
        <v>90</v>
      </c>
      <c r="CF107" s="2">
        <v>44341</v>
      </c>
      <c r="CI107">
        <v>1</v>
      </c>
      <c r="CJ107">
        <v>1</v>
      </c>
      <c r="CK107">
        <v>21</v>
      </c>
      <c r="CL107" t="s">
        <v>78</v>
      </c>
    </row>
    <row r="108" spans="1:90" x14ac:dyDescent="0.25">
      <c r="A108" t="s">
        <v>222</v>
      </c>
      <c r="B108" t="s">
        <v>223</v>
      </c>
      <c r="C108" t="s">
        <v>72</v>
      </c>
      <c r="E108" t="str">
        <f>"009940718556"</f>
        <v>009940718556</v>
      </c>
      <c r="F108" s="2">
        <v>44337</v>
      </c>
      <c r="G108">
        <v>202111</v>
      </c>
      <c r="H108" t="s">
        <v>96</v>
      </c>
      <c r="I108" t="s">
        <v>97</v>
      </c>
      <c r="J108" t="s">
        <v>242</v>
      </c>
      <c r="K108" t="s">
        <v>75</v>
      </c>
      <c r="L108" t="s">
        <v>101</v>
      </c>
      <c r="M108" t="s">
        <v>102</v>
      </c>
      <c r="N108" t="s">
        <v>233</v>
      </c>
      <c r="O108" t="s">
        <v>76</v>
      </c>
      <c r="P108" t="str">
        <f>"119 422 70FM                  "</f>
        <v xml:space="preserve">119 422 70FM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9.42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1.2</v>
      </c>
      <c r="BJ108">
        <v>0.7</v>
      </c>
      <c r="BK108">
        <v>1.5</v>
      </c>
      <c r="BL108">
        <v>51.29</v>
      </c>
      <c r="BM108">
        <v>7.69</v>
      </c>
      <c r="BN108">
        <v>58.98</v>
      </c>
      <c r="BO108">
        <v>58.98</v>
      </c>
      <c r="BQ108" t="s">
        <v>266</v>
      </c>
      <c r="BR108" t="s">
        <v>263</v>
      </c>
      <c r="BS108" s="2">
        <v>44340</v>
      </c>
      <c r="BT108" s="3">
        <v>0.4909722222222222</v>
      </c>
      <c r="BU108" t="s">
        <v>277</v>
      </c>
      <c r="BV108" t="s">
        <v>78</v>
      </c>
      <c r="BW108" t="s">
        <v>128</v>
      </c>
      <c r="BX108" t="s">
        <v>164</v>
      </c>
      <c r="BY108">
        <v>3600</v>
      </c>
      <c r="BZ108" t="s">
        <v>84</v>
      </c>
      <c r="CA108" t="s">
        <v>122</v>
      </c>
      <c r="CC108" t="s">
        <v>102</v>
      </c>
      <c r="CD108">
        <v>8000</v>
      </c>
      <c r="CE108" t="s">
        <v>90</v>
      </c>
      <c r="CF108" s="2">
        <v>44341</v>
      </c>
      <c r="CI108">
        <v>1</v>
      </c>
      <c r="CJ108">
        <v>1</v>
      </c>
      <c r="CK108">
        <v>21</v>
      </c>
      <c r="CL108" t="s"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2021-05-28T12:40:49Z</dcterms:created>
  <dcterms:modified xsi:type="dcterms:W3CDTF">2021-05-28T13:20:06Z</dcterms:modified>
</cp:coreProperties>
</file>