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360B82B5-25B5-491E-95B4-6FD38D96B3C9}" xr6:coauthVersionLast="47" xr6:coauthVersionMax="47" xr10:uidLastSave="{00000000-0000-0000-0000-000000000000}"/>
  <bookViews>
    <workbookView xWindow="28680" yWindow="-120" windowWidth="20730" windowHeight="11040" xr2:uid="{9B50873E-AC1F-4394-B741-12BAC0DE7B5D}"/>
  </bookViews>
  <sheets>
    <sheet name="sdrascd7-IENOMKE13067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28" i="1" l="1"/>
  <c r="E528" i="1"/>
  <c r="P527" i="1"/>
  <c r="E527" i="1"/>
  <c r="P526" i="1"/>
  <c r="E526" i="1"/>
  <c r="P525" i="1"/>
  <c r="E525" i="1"/>
  <c r="P524" i="1"/>
  <c r="E524" i="1"/>
  <c r="P523" i="1"/>
  <c r="E523" i="1"/>
  <c r="P522" i="1"/>
  <c r="E522" i="1"/>
  <c r="P521" i="1"/>
  <c r="E521" i="1"/>
  <c r="P520" i="1"/>
  <c r="E520" i="1"/>
  <c r="P519" i="1"/>
  <c r="E519" i="1"/>
  <c r="P518" i="1"/>
  <c r="E518" i="1"/>
  <c r="P517" i="1"/>
  <c r="E517" i="1"/>
  <c r="P516" i="1"/>
  <c r="E516" i="1"/>
  <c r="P515" i="1"/>
  <c r="E515" i="1"/>
  <c r="P514" i="1"/>
  <c r="E514" i="1"/>
  <c r="P513" i="1"/>
  <c r="E513" i="1"/>
  <c r="P512" i="1"/>
  <c r="E512" i="1"/>
  <c r="P511" i="1"/>
  <c r="E511" i="1"/>
  <c r="P510" i="1"/>
  <c r="E510" i="1"/>
  <c r="P509" i="1"/>
  <c r="E509" i="1"/>
  <c r="P508" i="1"/>
  <c r="E508" i="1"/>
  <c r="P507" i="1"/>
  <c r="E507" i="1"/>
  <c r="P506" i="1"/>
  <c r="E506" i="1"/>
  <c r="P505" i="1"/>
  <c r="E505" i="1"/>
  <c r="P504" i="1"/>
  <c r="E504" i="1"/>
  <c r="P503" i="1"/>
  <c r="E503" i="1"/>
  <c r="P502" i="1"/>
  <c r="E502" i="1"/>
  <c r="P501" i="1"/>
  <c r="E501" i="1"/>
  <c r="P500" i="1"/>
  <c r="E500" i="1"/>
  <c r="P499" i="1"/>
  <c r="E499" i="1"/>
  <c r="P498" i="1"/>
  <c r="E498" i="1"/>
  <c r="P497" i="1"/>
  <c r="E497" i="1"/>
  <c r="P496" i="1"/>
  <c r="E496" i="1"/>
  <c r="P495" i="1"/>
  <c r="E495" i="1"/>
  <c r="P494" i="1"/>
  <c r="E494" i="1"/>
  <c r="P493" i="1"/>
  <c r="E493" i="1"/>
  <c r="P492" i="1"/>
  <c r="E492" i="1"/>
  <c r="P491" i="1"/>
  <c r="E491" i="1"/>
  <c r="P490" i="1"/>
  <c r="E490" i="1"/>
  <c r="P489" i="1"/>
  <c r="E489" i="1"/>
  <c r="P488" i="1"/>
  <c r="E488" i="1"/>
  <c r="P487" i="1"/>
  <c r="E487" i="1"/>
  <c r="P486" i="1"/>
  <c r="E486" i="1"/>
  <c r="P485" i="1"/>
  <c r="E485" i="1"/>
  <c r="P484" i="1"/>
  <c r="E484" i="1"/>
  <c r="P483" i="1"/>
  <c r="E483" i="1"/>
  <c r="P482" i="1"/>
  <c r="E482" i="1"/>
  <c r="P481" i="1"/>
  <c r="E481" i="1"/>
  <c r="P480" i="1"/>
  <c r="E480" i="1"/>
  <c r="P479" i="1"/>
  <c r="E479" i="1"/>
  <c r="P478" i="1"/>
  <c r="E478" i="1"/>
  <c r="P477" i="1"/>
  <c r="E477" i="1"/>
  <c r="P476" i="1"/>
  <c r="E476" i="1"/>
  <c r="P475" i="1"/>
  <c r="E475" i="1"/>
  <c r="P474" i="1"/>
  <c r="E474" i="1"/>
  <c r="P473" i="1"/>
  <c r="E473" i="1"/>
  <c r="P472" i="1"/>
  <c r="E472" i="1"/>
  <c r="P471" i="1"/>
  <c r="E471" i="1"/>
  <c r="P470" i="1"/>
  <c r="E470" i="1"/>
  <c r="P469" i="1"/>
  <c r="E469" i="1"/>
  <c r="P468" i="1"/>
  <c r="E468" i="1"/>
  <c r="P467" i="1"/>
  <c r="E467" i="1"/>
  <c r="P466" i="1"/>
  <c r="E466" i="1"/>
  <c r="P465" i="1"/>
  <c r="E465" i="1"/>
  <c r="P464" i="1"/>
  <c r="E464" i="1"/>
  <c r="P463" i="1"/>
  <c r="E463" i="1"/>
  <c r="P462" i="1"/>
  <c r="E462" i="1"/>
  <c r="P461" i="1"/>
  <c r="E461" i="1"/>
  <c r="P460" i="1"/>
  <c r="E460" i="1"/>
  <c r="P459" i="1"/>
  <c r="E459" i="1"/>
  <c r="P458" i="1"/>
  <c r="E458" i="1"/>
  <c r="P457" i="1"/>
  <c r="E457" i="1"/>
  <c r="P456" i="1"/>
  <c r="E456" i="1"/>
  <c r="P455" i="1"/>
  <c r="E455" i="1"/>
  <c r="P454" i="1"/>
  <c r="E454" i="1"/>
  <c r="P453" i="1"/>
  <c r="E453" i="1"/>
  <c r="P452" i="1"/>
  <c r="E452" i="1"/>
  <c r="P451" i="1"/>
  <c r="E451" i="1"/>
  <c r="P450" i="1"/>
  <c r="E450" i="1"/>
  <c r="P449" i="1"/>
  <c r="E449" i="1"/>
  <c r="P448" i="1"/>
  <c r="E448" i="1"/>
  <c r="P447" i="1"/>
  <c r="E447" i="1"/>
  <c r="P446" i="1"/>
  <c r="E446" i="1"/>
  <c r="P445" i="1"/>
  <c r="E445" i="1"/>
  <c r="P444" i="1"/>
  <c r="E444" i="1"/>
  <c r="P443" i="1"/>
  <c r="E443" i="1"/>
  <c r="P442" i="1"/>
  <c r="E442" i="1"/>
  <c r="P441" i="1"/>
  <c r="E441" i="1"/>
  <c r="P440" i="1"/>
  <c r="E440" i="1"/>
  <c r="P439" i="1"/>
  <c r="E439" i="1"/>
  <c r="P438" i="1"/>
  <c r="E438" i="1"/>
  <c r="P437" i="1"/>
  <c r="E437" i="1"/>
  <c r="P436" i="1"/>
  <c r="E436" i="1"/>
  <c r="P435" i="1"/>
  <c r="E435" i="1"/>
  <c r="P434" i="1"/>
  <c r="E434" i="1"/>
  <c r="P433" i="1"/>
  <c r="E433" i="1"/>
  <c r="P432" i="1"/>
  <c r="E432" i="1"/>
  <c r="P431" i="1"/>
  <c r="E431" i="1"/>
  <c r="P430" i="1"/>
  <c r="E430" i="1"/>
  <c r="P429" i="1"/>
  <c r="E429" i="1"/>
  <c r="P428" i="1"/>
  <c r="E428" i="1"/>
  <c r="P427" i="1"/>
  <c r="E427" i="1"/>
  <c r="P426" i="1"/>
  <c r="E426" i="1"/>
  <c r="P425" i="1"/>
  <c r="E425" i="1"/>
  <c r="P424" i="1"/>
  <c r="E424" i="1"/>
  <c r="P423" i="1"/>
  <c r="E423" i="1"/>
  <c r="P422" i="1"/>
  <c r="E422" i="1"/>
  <c r="P421" i="1"/>
  <c r="E421" i="1"/>
  <c r="P420" i="1"/>
  <c r="E420" i="1"/>
  <c r="P419" i="1"/>
  <c r="E419" i="1"/>
  <c r="P418" i="1"/>
  <c r="E418" i="1"/>
  <c r="P417" i="1"/>
  <c r="E417" i="1"/>
  <c r="P416" i="1"/>
  <c r="E416" i="1"/>
  <c r="P415" i="1"/>
  <c r="E415" i="1"/>
  <c r="P414" i="1"/>
  <c r="E414" i="1"/>
  <c r="P413" i="1"/>
  <c r="E413" i="1"/>
  <c r="P412" i="1"/>
  <c r="E412" i="1"/>
  <c r="P411" i="1"/>
  <c r="E411" i="1"/>
  <c r="P410" i="1"/>
  <c r="E410" i="1"/>
  <c r="P409" i="1"/>
  <c r="E409" i="1"/>
  <c r="P408" i="1"/>
  <c r="E408" i="1"/>
  <c r="P407" i="1"/>
  <c r="E407" i="1"/>
  <c r="P406" i="1"/>
  <c r="E406" i="1"/>
  <c r="P405" i="1"/>
  <c r="E405" i="1"/>
  <c r="P404" i="1"/>
  <c r="E404" i="1"/>
  <c r="P403" i="1"/>
  <c r="E403" i="1"/>
  <c r="P402" i="1"/>
  <c r="E402" i="1"/>
  <c r="P401" i="1"/>
  <c r="E401" i="1"/>
  <c r="P400" i="1"/>
  <c r="E400" i="1"/>
  <c r="P399" i="1"/>
  <c r="E399" i="1"/>
  <c r="P398" i="1"/>
  <c r="E398" i="1"/>
  <c r="P397" i="1"/>
  <c r="E397" i="1"/>
  <c r="P396" i="1"/>
  <c r="E396" i="1"/>
  <c r="P395" i="1"/>
  <c r="E395" i="1"/>
  <c r="P394" i="1"/>
  <c r="E394" i="1"/>
  <c r="P393" i="1"/>
  <c r="E393" i="1"/>
  <c r="P392" i="1"/>
  <c r="E392" i="1"/>
  <c r="P391" i="1"/>
  <c r="E391" i="1"/>
  <c r="P390" i="1"/>
  <c r="E390" i="1"/>
  <c r="P389" i="1"/>
  <c r="E389" i="1"/>
  <c r="P388" i="1"/>
  <c r="E388" i="1"/>
  <c r="P387" i="1"/>
  <c r="E387" i="1"/>
  <c r="P386" i="1"/>
  <c r="E386" i="1"/>
  <c r="P385" i="1"/>
  <c r="E385" i="1"/>
  <c r="P384" i="1"/>
  <c r="E384" i="1"/>
  <c r="P383" i="1"/>
  <c r="E383" i="1"/>
  <c r="P382" i="1"/>
  <c r="E382" i="1"/>
  <c r="P381" i="1"/>
  <c r="E381" i="1"/>
  <c r="P380" i="1"/>
  <c r="E380" i="1"/>
  <c r="P379" i="1"/>
  <c r="E379" i="1"/>
  <c r="P378" i="1"/>
  <c r="E378" i="1"/>
  <c r="P377" i="1"/>
  <c r="E377" i="1"/>
  <c r="P376" i="1"/>
  <c r="E376" i="1"/>
  <c r="P375" i="1"/>
  <c r="E375" i="1"/>
  <c r="P374" i="1"/>
  <c r="E374" i="1"/>
  <c r="P373" i="1"/>
  <c r="E373" i="1"/>
  <c r="P372" i="1"/>
  <c r="E372" i="1"/>
  <c r="P371" i="1"/>
  <c r="E371" i="1"/>
  <c r="P370" i="1"/>
  <c r="E370" i="1"/>
  <c r="P369" i="1"/>
  <c r="E369" i="1"/>
  <c r="P368" i="1"/>
  <c r="E368" i="1"/>
  <c r="P367" i="1"/>
  <c r="E367" i="1"/>
  <c r="P366" i="1"/>
  <c r="E366" i="1"/>
  <c r="P365" i="1"/>
  <c r="E365" i="1"/>
  <c r="P364" i="1"/>
  <c r="E364" i="1"/>
  <c r="P363" i="1"/>
  <c r="E363" i="1"/>
  <c r="P362" i="1"/>
  <c r="E362" i="1"/>
  <c r="P361" i="1"/>
  <c r="E361" i="1"/>
  <c r="P360" i="1"/>
  <c r="E360" i="1"/>
  <c r="P359" i="1"/>
  <c r="E359" i="1"/>
  <c r="P358" i="1"/>
  <c r="E358" i="1"/>
  <c r="P357" i="1"/>
  <c r="E357" i="1"/>
  <c r="P356" i="1"/>
  <c r="E356" i="1"/>
  <c r="P355" i="1"/>
  <c r="E355" i="1"/>
  <c r="P354" i="1"/>
  <c r="E354" i="1"/>
  <c r="P353" i="1"/>
  <c r="E353" i="1"/>
  <c r="P352" i="1"/>
  <c r="E352" i="1"/>
  <c r="P351" i="1"/>
  <c r="E351" i="1"/>
  <c r="P350" i="1"/>
  <c r="E350" i="1"/>
  <c r="P349" i="1"/>
  <c r="E349" i="1"/>
  <c r="P348" i="1"/>
  <c r="E348" i="1"/>
  <c r="P347" i="1"/>
  <c r="E347" i="1"/>
  <c r="P346" i="1"/>
  <c r="E346" i="1"/>
  <c r="P345" i="1"/>
  <c r="E345" i="1"/>
  <c r="P344" i="1"/>
  <c r="E344" i="1"/>
  <c r="P343" i="1"/>
  <c r="E343" i="1"/>
  <c r="P342" i="1"/>
  <c r="E342" i="1"/>
  <c r="P341" i="1"/>
  <c r="E341" i="1"/>
  <c r="P340" i="1"/>
  <c r="E340" i="1"/>
  <c r="P339" i="1"/>
  <c r="E339" i="1"/>
  <c r="P338" i="1"/>
  <c r="E338" i="1"/>
  <c r="P337" i="1"/>
  <c r="E337" i="1"/>
  <c r="P336" i="1"/>
  <c r="E336" i="1"/>
  <c r="P335" i="1"/>
  <c r="E335" i="1"/>
  <c r="P334" i="1"/>
  <c r="E334" i="1"/>
  <c r="P333" i="1"/>
  <c r="E333" i="1"/>
  <c r="P332" i="1"/>
  <c r="E332" i="1"/>
  <c r="P331" i="1"/>
  <c r="E331" i="1"/>
  <c r="P330" i="1"/>
  <c r="E330" i="1"/>
  <c r="P329" i="1"/>
  <c r="E329" i="1"/>
  <c r="P328" i="1"/>
  <c r="E328" i="1"/>
  <c r="P327" i="1"/>
  <c r="E327" i="1"/>
  <c r="P326" i="1"/>
  <c r="E326" i="1"/>
  <c r="P325" i="1"/>
  <c r="E325" i="1"/>
  <c r="P324" i="1"/>
  <c r="E324" i="1"/>
  <c r="P323" i="1"/>
  <c r="E323" i="1"/>
  <c r="P322" i="1"/>
  <c r="E322" i="1"/>
  <c r="P321" i="1"/>
  <c r="E321" i="1"/>
  <c r="P320" i="1"/>
  <c r="E320" i="1"/>
  <c r="P319" i="1"/>
  <c r="E319" i="1"/>
  <c r="P318" i="1"/>
  <c r="E318" i="1"/>
  <c r="P317" i="1"/>
  <c r="E317" i="1"/>
  <c r="P316" i="1"/>
  <c r="E316" i="1"/>
  <c r="P315" i="1"/>
  <c r="E315" i="1"/>
  <c r="P314" i="1"/>
  <c r="E314" i="1"/>
  <c r="P313" i="1"/>
  <c r="E313" i="1"/>
  <c r="P312" i="1"/>
  <c r="E312" i="1"/>
  <c r="P311" i="1"/>
  <c r="E311" i="1"/>
  <c r="P310" i="1"/>
  <c r="E310" i="1"/>
  <c r="P309" i="1"/>
  <c r="E309" i="1"/>
  <c r="P308" i="1"/>
  <c r="E308" i="1"/>
  <c r="P307" i="1"/>
  <c r="E307" i="1"/>
  <c r="P306" i="1"/>
  <c r="E306" i="1"/>
  <c r="P305" i="1"/>
  <c r="E305" i="1"/>
  <c r="P304" i="1"/>
  <c r="E304" i="1"/>
  <c r="P303" i="1"/>
  <c r="E303" i="1"/>
  <c r="P302" i="1"/>
  <c r="E302" i="1"/>
  <c r="P301" i="1"/>
  <c r="E301" i="1"/>
  <c r="P300" i="1"/>
  <c r="E300" i="1"/>
  <c r="P299" i="1"/>
  <c r="E299" i="1"/>
  <c r="P298" i="1"/>
  <c r="E298" i="1"/>
  <c r="P297" i="1"/>
  <c r="E297" i="1"/>
  <c r="P296" i="1"/>
  <c r="E296" i="1"/>
  <c r="P295" i="1"/>
  <c r="E295" i="1"/>
  <c r="P294" i="1"/>
  <c r="E294" i="1"/>
  <c r="P293" i="1"/>
  <c r="E293" i="1"/>
  <c r="P292" i="1"/>
  <c r="E292" i="1"/>
  <c r="P291" i="1"/>
  <c r="E291" i="1"/>
  <c r="P290" i="1"/>
  <c r="E290" i="1"/>
  <c r="P289" i="1"/>
  <c r="E289" i="1"/>
  <c r="P288" i="1"/>
  <c r="E288" i="1"/>
  <c r="P287" i="1"/>
  <c r="E287" i="1"/>
  <c r="P286" i="1"/>
  <c r="E286" i="1"/>
  <c r="P285" i="1"/>
  <c r="E285" i="1"/>
  <c r="P284" i="1"/>
  <c r="E284" i="1"/>
  <c r="P283" i="1"/>
  <c r="E283" i="1"/>
  <c r="P282" i="1"/>
  <c r="E282" i="1"/>
  <c r="P281" i="1"/>
  <c r="E281" i="1"/>
  <c r="P280" i="1"/>
  <c r="E280" i="1"/>
  <c r="P279" i="1"/>
  <c r="E279" i="1"/>
  <c r="P278" i="1"/>
  <c r="E278" i="1"/>
  <c r="P277" i="1"/>
  <c r="E277" i="1"/>
  <c r="P276" i="1"/>
  <c r="E276" i="1"/>
  <c r="P275" i="1"/>
  <c r="E275" i="1"/>
  <c r="P274" i="1"/>
  <c r="E274" i="1"/>
  <c r="P273" i="1"/>
  <c r="E273" i="1"/>
  <c r="P272" i="1"/>
  <c r="E272" i="1"/>
  <c r="P271" i="1"/>
  <c r="E271" i="1"/>
  <c r="P270" i="1"/>
  <c r="E270" i="1"/>
  <c r="P269" i="1"/>
  <c r="E269" i="1"/>
  <c r="P268" i="1"/>
  <c r="E268" i="1"/>
  <c r="P267" i="1"/>
  <c r="E267" i="1"/>
  <c r="P266" i="1"/>
  <c r="E266" i="1"/>
  <c r="P265" i="1"/>
  <c r="E265" i="1"/>
  <c r="P264" i="1"/>
  <c r="E264" i="1"/>
  <c r="P263" i="1"/>
  <c r="E263" i="1"/>
  <c r="P262" i="1"/>
  <c r="E262" i="1"/>
  <c r="P261" i="1"/>
  <c r="E261" i="1"/>
  <c r="P260" i="1"/>
  <c r="E260" i="1"/>
  <c r="P259" i="1"/>
  <c r="E259" i="1"/>
  <c r="P258" i="1"/>
  <c r="E258" i="1"/>
  <c r="P257" i="1"/>
  <c r="E257" i="1"/>
  <c r="P256" i="1"/>
  <c r="E256" i="1"/>
  <c r="P255" i="1"/>
  <c r="E255" i="1"/>
  <c r="P254" i="1"/>
  <c r="E254" i="1"/>
  <c r="P253" i="1"/>
  <c r="E253" i="1"/>
  <c r="P252" i="1"/>
  <c r="E252" i="1"/>
  <c r="P251" i="1"/>
  <c r="E251" i="1"/>
  <c r="P250" i="1"/>
  <c r="E250" i="1"/>
  <c r="P249" i="1"/>
  <c r="E249" i="1"/>
  <c r="P248" i="1"/>
  <c r="E248" i="1"/>
  <c r="P247" i="1"/>
  <c r="E247" i="1"/>
  <c r="P246" i="1"/>
  <c r="E246" i="1"/>
  <c r="P245" i="1"/>
  <c r="E245" i="1"/>
  <c r="P244" i="1"/>
  <c r="E244" i="1"/>
  <c r="P243" i="1"/>
  <c r="E243" i="1"/>
  <c r="P242" i="1"/>
  <c r="E242" i="1"/>
  <c r="P241" i="1"/>
  <c r="E241" i="1"/>
  <c r="P240" i="1"/>
  <c r="E240" i="1"/>
  <c r="P239" i="1"/>
  <c r="E239" i="1"/>
  <c r="P238" i="1"/>
  <c r="E238" i="1"/>
  <c r="P237" i="1"/>
  <c r="E237" i="1"/>
  <c r="P236" i="1"/>
  <c r="E236" i="1"/>
  <c r="P235" i="1"/>
  <c r="E235" i="1"/>
  <c r="P234" i="1"/>
  <c r="E234" i="1"/>
  <c r="P233" i="1"/>
  <c r="E233" i="1"/>
  <c r="P232" i="1"/>
  <c r="E232" i="1"/>
  <c r="P231" i="1"/>
  <c r="E231" i="1"/>
  <c r="P230" i="1"/>
  <c r="E230" i="1"/>
  <c r="P229" i="1"/>
  <c r="E229" i="1"/>
  <c r="P228" i="1"/>
  <c r="E228" i="1"/>
  <c r="P227" i="1"/>
  <c r="E227" i="1"/>
  <c r="P226" i="1"/>
  <c r="E226" i="1"/>
  <c r="P225" i="1"/>
  <c r="E225" i="1"/>
  <c r="P224" i="1"/>
  <c r="E224" i="1"/>
  <c r="P223" i="1"/>
  <c r="E223" i="1"/>
  <c r="P222" i="1"/>
  <c r="E222" i="1"/>
  <c r="P221" i="1"/>
  <c r="E221" i="1"/>
  <c r="P220" i="1"/>
  <c r="E220" i="1"/>
  <c r="P219" i="1"/>
  <c r="E219" i="1"/>
  <c r="P218" i="1"/>
  <c r="E218" i="1"/>
  <c r="P217" i="1"/>
  <c r="E217" i="1"/>
  <c r="P216" i="1"/>
  <c r="E216" i="1"/>
  <c r="P215" i="1"/>
  <c r="E215" i="1"/>
  <c r="P214" i="1"/>
  <c r="E214" i="1"/>
  <c r="P213" i="1"/>
  <c r="E213" i="1"/>
  <c r="P212" i="1"/>
  <c r="E212" i="1"/>
  <c r="P211" i="1"/>
  <c r="E211" i="1"/>
  <c r="P210" i="1"/>
  <c r="E210" i="1"/>
  <c r="P209" i="1"/>
  <c r="E209" i="1"/>
  <c r="P208" i="1"/>
  <c r="E208" i="1"/>
  <c r="P207" i="1"/>
  <c r="E207" i="1"/>
  <c r="P206" i="1"/>
  <c r="E206" i="1"/>
  <c r="P205" i="1"/>
  <c r="E205" i="1"/>
  <c r="P204" i="1"/>
  <c r="E204" i="1"/>
  <c r="P203" i="1"/>
  <c r="E203" i="1"/>
  <c r="P202" i="1"/>
  <c r="E202" i="1"/>
  <c r="P201" i="1"/>
  <c r="E201" i="1"/>
  <c r="P200" i="1"/>
  <c r="E200" i="1"/>
  <c r="P199" i="1"/>
  <c r="E199" i="1"/>
  <c r="P198" i="1"/>
  <c r="E198" i="1"/>
  <c r="P197" i="1"/>
  <c r="E197" i="1"/>
  <c r="P196" i="1"/>
  <c r="E196" i="1"/>
  <c r="P195" i="1"/>
  <c r="E195" i="1"/>
  <c r="P194" i="1"/>
  <c r="E194" i="1"/>
  <c r="P193" i="1"/>
  <c r="E193" i="1"/>
  <c r="P192" i="1"/>
  <c r="E192" i="1"/>
  <c r="P191" i="1"/>
  <c r="E191" i="1"/>
  <c r="P190" i="1"/>
  <c r="E190" i="1"/>
  <c r="P189" i="1"/>
  <c r="E189" i="1"/>
  <c r="P188" i="1"/>
  <c r="E188" i="1"/>
  <c r="P187" i="1"/>
  <c r="E187" i="1"/>
  <c r="P186" i="1"/>
  <c r="E186" i="1"/>
  <c r="P185" i="1"/>
  <c r="E185" i="1"/>
  <c r="P184" i="1"/>
  <c r="E184" i="1"/>
  <c r="P183" i="1"/>
  <c r="E183" i="1"/>
  <c r="P182" i="1"/>
  <c r="E182" i="1"/>
  <c r="P181" i="1"/>
  <c r="E181" i="1"/>
  <c r="P180" i="1"/>
  <c r="E180" i="1"/>
  <c r="P179" i="1"/>
  <c r="E179" i="1"/>
  <c r="P178" i="1"/>
  <c r="E178" i="1"/>
  <c r="P177" i="1"/>
  <c r="E177" i="1"/>
  <c r="P176" i="1"/>
  <c r="E176" i="1"/>
  <c r="P175" i="1"/>
  <c r="E175" i="1"/>
  <c r="P174" i="1"/>
  <c r="E174" i="1"/>
  <c r="P173" i="1"/>
  <c r="E173" i="1"/>
  <c r="P172" i="1"/>
  <c r="E172" i="1"/>
  <c r="P171" i="1"/>
  <c r="E171" i="1"/>
  <c r="P170" i="1"/>
  <c r="E170" i="1"/>
  <c r="P169" i="1"/>
  <c r="E169" i="1"/>
  <c r="P168" i="1"/>
  <c r="E168" i="1"/>
  <c r="P167" i="1"/>
  <c r="E167" i="1"/>
  <c r="P166" i="1"/>
  <c r="E166" i="1"/>
  <c r="P165" i="1"/>
  <c r="E165" i="1"/>
  <c r="P164" i="1"/>
  <c r="E164" i="1"/>
  <c r="P163" i="1"/>
  <c r="E163" i="1"/>
  <c r="P162" i="1"/>
  <c r="E162" i="1"/>
  <c r="P161" i="1"/>
  <c r="E161" i="1"/>
  <c r="P160" i="1"/>
  <c r="E160" i="1"/>
  <c r="P159" i="1"/>
  <c r="E159" i="1"/>
  <c r="P158" i="1"/>
  <c r="E158" i="1"/>
  <c r="P157" i="1"/>
  <c r="E157" i="1"/>
  <c r="P156" i="1"/>
  <c r="E156" i="1"/>
  <c r="P155" i="1"/>
  <c r="E155" i="1"/>
  <c r="P154" i="1"/>
  <c r="E154" i="1"/>
  <c r="P153" i="1"/>
  <c r="E153" i="1"/>
  <c r="P152" i="1"/>
  <c r="E152" i="1"/>
  <c r="P151" i="1"/>
  <c r="E151" i="1"/>
  <c r="P150" i="1"/>
  <c r="E150" i="1"/>
  <c r="P149" i="1"/>
  <c r="E149" i="1"/>
  <c r="P148" i="1"/>
  <c r="E148" i="1"/>
  <c r="P147" i="1"/>
  <c r="E147" i="1"/>
  <c r="P146" i="1"/>
  <c r="E146" i="1"/>
  <c r="P145" i="1"/>
  <c r="E145" i="1"/>
  <c r="P144" i="1"/>
  <c r="E144" i="1"/>
  <c r="P143" i="1"/>
  <c r="E143" i="1"/>
  <c r="P142" i="1"/>
  <c r="E142" i="1"/>
  <c r="P141" i="1"/>
  <c r="E141" i="1"/>
  <c r="P140" i="1"/>
  <c r="E140" i="1"/>
  <c r="P139" i="1"/>
  <c r="E139" i="1"/>
  <c r="P138" i="1"/>
  <c r="E138" i="1"/>
  <c r="P137" i="1"/>
  <c r="E137" i="1"/>
  <c r="P136" i="1"/>
  <c r="E136" i="1"/>
  <c r="P135" i="1"/>
  <c r="E135" i="1"/>
  <c r="P134" i="1"/>
  <c r="E134" i="1"/>
  <c r="P133" i="1"/>
  <c r="E133" i="1"/>
  <c r="P132" i="1"/>
  <c r="E132" i="1"/>
  <c r="P131" i="1"/>
  <c r="E131" i="1"/>
  <c r="P130" i="1"/>
  <c r="E130" i="1"/>
  <c r="P129" i="1"/>
  <c r="E129" i="1"/>
  <c r="P128" i="1"/>
  <c r="E128" i="1"/>
  <c r="P127" i="1"/>
  <c r="E127" i="1"/>
  <c r="P126" i="1"/>
  <c r="E126" i="1"/>
  <c r="P125" i="1"/>
  <c r="E125" i="1"/>
  <c r="P124" i="1"/>
  <c r="E124" i="1"/>
  <c r="P123" i="1"/>
  <c r="E123" i="1"/>
  <c r="P122" i="1"/>
  <c r="E122" i="1"/>
  <c r="P121" i="1"/>
  <c r="E121" i="1"/>
  <c r="P120" i="1"/>
  <c r="E120" i="1"/>
  <c r="P119" i="1"/>
  <c r="E119" i="1"/>
  <c r="P118" i="1"/>
  <c r="E118" i="1"/>
  <c r="P117" i="1"/>
  <c r="E117" i="1"/>
  <c r="P116" i="1"/>
  <c r="E116" i="1"/>
  <c r="P115" i="1"/>
  <c r="E115" i="1"/>
  <c r="P114" i="1"/>
  <c r="E114" i="1"/>
  <c r="P113" i="1"/>
  <c r="E113" i="1"/>
  <c r="P112" i="1"/>
  <c r="E112" i="1"/>
  <c r="P111" i="1"/>
  <c r="E111" i="1"/>
  <c r="P110" i="1"/>
  <c r="E110" i="1"/>
  <c r="P109" i="1"/>
  <c r="E109" i="1"/>
  <c r="P108" i="1"/>
  <c r="E108" i="1"/>
  <c r="P107" i="1"/>
  <c r="E107" i="1"/>
  <c r="P106" i="1"/>
  <c r="E106" i="1"/>
  <c r="P105" i="1"/>
  <c r="E105" i="1"/>
  <c r="P104" i="1"/>
  <c r="E104" i="1"/>
  <c r="P103" i="1"/>
  <c r="E103" i="1"/>
  <c r="P102" i="1"/>
  <c r="E102" i="1"/>
  <c r="P101" i="1"/>
  <c r="E101" i="1"/>
  <c r="P100" i="1"/>
  <c r="E100" i="1"/>
  <c r="P99" i="1"/>
  <c r="E99" i="1"/>
  <c r="P98" i="1"/>
  <c r="E98" i="1"/>
  <c r="P97" i="1"/>
  <c r="E97" i="1"/>
  <c r="P96" i="1"/>
  <c r="E96" i="1"/>
  <c r="P95" i="1"/>
  <c r="E95" i="1"/>
  <c r="P94" i="1"/>
  <c r="E94" i="1"/>
  <c r="P93" i="1"/>
  <c r="E93" i="1"/>
  <c r="P92" i="1"/>
  <c r="E92" i="1"/>
  <c r="P91" i="1"/>
  <c r="E91" i="1"/>
  <c r="P90" i="1"/>
  <c r="E90" i="1"/>
  <c r="P89" i="1"/>
  <c r="E89" i="1"/>
  <c r="P88" i="1"/>
  <c r="E88" i="1"/>
  <c r="P87" i="1"/>
  <c r="E87" i="1"/>
  <c r="P86" i="1"/>
  <c r="E86" i="1"/>
  <c r="P85" i="1"/>
  <c r="E85" i="1"/>
  <c r="P84" i="1"/>
  <c r="E84" i="1"/>
  <c r="P83" i="1"/>
  <c r="E83" i="1"/>
  <c r="P82" i="1"/>
  <c r="E82" i="1"/>
  <c r="P81" i="1"/>
  <c r="E81" i="1"/>
  <c r="P80" i="1"/>
  <c r="E80" i="1"/>
  <c r="P79" i="1"/>
  <c r="E79" i="1"/>
  <c r="P78" i="1"/>
  <c r="E78" i="1"/>
  <c r="P77" i="1"/>
  <c r="E77" i="1"/>
  <c r="P76" i="1"/>
  <c r="E76" i="1"/>
  <c r="P75" i="1"/>
  <c r="E75" i="1"/>
  <c r="P74" i="1"/>
  <c r="E74" i="1"/>
  <c r="P73" i="1"/>
  <c r="E73" i="1"/>
  <c r="P72" i="1"/>
  <c r="E72" i="1"/>
  <c r="P71" i="1"/>
  <c r="E71" i="1"/>
  <c r="P70" i="1"/>
  <c r="E70" i="1"/>
  <c r="P69" i="1"/>
  <c r="E69" i="1"/>
  <c r="P68" i="1"/>
  <c r="E68" i="1"/>
  <c r="P67" i="1"/>
  <c r="E67" i="1"/>
  <c r="P66" i="1"/>
  <c r="E66" i="1"/>
  <c r="P65" i="1"/>
  <c r="E65" i="1"/>
  <c r="P64" i="1"/>
  <c r="E64" i="1"/>
  <c r="P63" i="1"/>
  <c r="E63" i="1"/>
  <c r="P62" i="1"/>
  <c r="E62" i="1"/>
  <c r="P61" i="1"/>
  <c r="E61" i="1"/>
  <c r="P60" i="1"/>
  <c r="E60" i="1"/>
  <c r="P59" i="1"/>
  <c r="E59" i="1"/>
  <c r="P58" i="1"/>
  <c r="E58" i="1"/>
  <c r="P57" i="1"/>
  <c r="E57" i="1"/>
  <c r="P56" i="1"/>
  <c r="E56" i="1"/>
  <c r="P55" i="1"/>
  <c r="E55" i="1"/>
  <c r="P54" i="1"/>
  <c r="E54" i="1"/>
  <c r="P53" i="1"/>
  <c r="E53" i="1"/>
  <c r="P52" i="1"/>
  <c r="E52" i="1"/>
  <c r="P51" i="1"/>
  <c r="E51" i="1"/>
  <c r="P50" i="1"/>
  <c r="E50" i="1"/>
  <c r="P49" i="1"/>
  <c r="E49" i="1"/>
  <c r="P48" i="1"/>
  <c r="E48" i="1"/>
  <c r="P47" i="1"/>
  <c r="E47" i="1"/>
  <c r="P46" i="1"/>
  <c r="E46" i="1"/>
  <c r="P45" i="1"/>
  <c r="E45" i="1"/>
  <c r="P44" i="1"/>
  <c r="E44" i="1"/>
  <c r="P43" i="1"/>
  <c r="E43" i="1"/>
  <c r="P42" i="1"/>
  <c r="E42" i="1"/>
  <c r="P41" i="1"/>
  <c r="E41" i="1"/>
  <c r="P40" i="1"/>
  <c r="E40" i="1"/>
  <c r="P39" i="1"/>
  <c r="E39" i="1"/>
  <c r="P38" i="1"/>
  <c r="E38" i="1"/>
  <c r="P37" i="1"/>
  <c r="E37" i="1"/>
  <c r="P36" i="1"/>
  <c r="E36" i="1"/>
  <c r="P35" i="1"/>
  <c r="E35" i="1"/>
  <c r="P34" i="1"/>
  <c r="E34" i="1"/>
  <c r="P33" i="1"/>
  <c r="E33" i="1"/>
  <c r="P32" i="1"/>
  <c r="E32" i="1"/>
  <c r="P31" i="1"/>
  <c r="E31" i="1"/>
  <c r="P30" i="1"/>
  <c r="E30" i="1"/>
  <c r="P29" i="1"/>
  <c r="E29" i="1"/>
  <c r="P28" i="1"/>
  <c r="E28" i="1"/>
  <c r="P27" i="1"/>
  <c r="E27" i="1"/>
  <c r="P26" i="1"/>
  <c r="E26" i="1"/>
  <c r="P25" i="1"/>
  <c r="E25" i="1"/>
  <c r="P24" i="1"/>
  <c r="E24" i="1"/>
  <c r="P23" i="1"/>
  <c r="E23" i="1"/>
  <c r="P22" i="1"/>
  <c r="E22" i="1"/>
  <c r="P21" i="1"/>
  <c r="E21" i="1"/>
  <c r="P20" i="1"/>
  <c r="E20" i="1"/>
  <c r="P19" i="1"/>
  <c r="E19" i="1"/>
  <c r="P18" i="1"/>
  <c r="E18" i="1"/>
  <c r="P17" i="1"/>
  <c r="E17" i="1"/>
  <c r="P16" i="1"/>
  <c r="E16" i="1"/>
  <c r="P15" i="1"/>
  <c r="E15" i="1"/>
  <c r="P14" i="1"/>
  <c r="E14" i="1"/>
  <c r="P13" i="1"/>
  <c r="E13" i="1"/>
  <c r="P12" i="1"/>
  <c r="E12" i="1"/>
  <c r="P11" i="1"/>
  <c r="E11" i="1"/>
  <c r="P10" i="1"/>
  <c r="E10" i="1"/>
  <c r="P9" i="1"/>
  <c r="E9" i="1"/>
  <c r="P8" i="1"/>
  <c r="E8" i="1"/>
  <c r="P7" i="1"/>
  <c r="E7" i="1"/>
  <c r="P6" i="1"/>
  <c r="E6" i="1"/>
  <c r="P5" i="1"/>
  <c r="E5" i="1"/>
  <c r="P4" i="1"/>
  <c r="E4" i="1"/>
  <c r="P3" i="1"/>
  <c r="E3" i="1"/>
  <c r="P2" i="1"/>
  <c r="E2" i="1"/>
</calcChain>
</file>

<file path=xl/sharedStrings.xml><?xml version="1.0" encoding="utf-8"?>
<sst xmlns="http://schemas.openxmlformats.org/spreadsheetml/2006/main" count="10537" uniqueCount="1564">
  <si>
    <t>Acc No</t>
  </si>
  <si>
    <t>Client</t>
  </si>
  <si>
    <t>Type</t>
  </si>
  <si>
    <t>Invoice no</t>
  </si>
  <si>
    <t>Wb No</t>
  </si>
  <si>
    <t>Date</t>
  </si>
  <si>
    <t>Period</t>
  </si>
  <si>
    <t>Start</t>
  </si>
  <si>
    <t>Start Town</t>
  </si>
  <si>
    <t>Sender</t>
  </si>
  <si>
    <t>Carrier</t>
  </si>
  <si>
    <t>Dest</t>
  </si>
  <si>
    <t>Destination Town</t>
  </si>
  <si>
    <t>Receiver</t>
  </si>
  <si>
    <t>Srv</t>
  </si>
  <si>
    <t>Client Ref</t>
  </si>
  <si>
    <t>AFT</t>
  </si>
  <si>
    <t>Disc</t>
  </si>
  <si>
    <t>AMB</t>
  </si>
  <si>
    <t>BDR</t>
  </si>
  <si>
    <t>BPS</t>
  </si>
  <si>
    <t>CSH</t>
  </si>
  <si>
    <t>CTL</t>
  </si>
  <si>
    <t>DS1</t>
  </si>
  <si>
    <t>DSD</t>
  </si>
  <si>
    <t>EAR</t>
  </si>
  <si>
    <t>EMB</t>
  </si>
  <si>
    <t>FUE</t>
  </si>
  <si>
    <t>FUX</t>
  </si>
  <si>
    <t>HAZ</t>
  </si>
  <si>
    <t>HND</t>
  </si>
  <si>
    <t>IFL</t>
  </si>
  <si>
    <t>INH</t>
  </si>
  <si>
    <t>INS</t>
  </si>
  <si>
    <t>LTE</t>
  </si>
  <si>
    <t>NDC</t>
  </si>
  <si>
    <t>OUT</t>
  </si>
  <si>
    <t>RTL</t>
  </si>
  <si>
    <t>Other Charges</t>
  </si>
  <si>
    <t>Prcls</t>
  </si>
  <si>
    <t>Tot KG</t>
  </si>
  <si>
    <t>Tot Vol</t>
  </si>
  <si>
    <t>Mass</t>
  </si>
  <si>
    <t>Amount</t>
  </si>
  <si>
    <t>Vat</t>
  </si>
  <si>
    <t>Total</t>
  </si>
  <si>
    <t>Outstand</t>
  </si>
  <si>
    <t>Special Instructions</t>
  </si>
  <si>
    <t>Consignee Contact</t>
  </si>
  <si>
    <t>Sender Contact</t>
  </si>
  <si>
    <t>POD Date</t>
  </si>
  <si>
    <t>POD Time</t>
  </si>
  <si>
    <t>POD Name</t>
  </si>
  <si>
    <t>STD POD</t>
  </si>
  <si>
    <t>Reason</t>
  </si>
  <si>
    <t>Reason Captured</t>
  </si>
  <si>
    <t>Total Vol Mass</t>
  </si>
  <si>
    <t>Options</t>
  </si>
  <si>
    <t>POD Comments</t>
  </si>
  <si>
    <t>X-Option</t>
  </si>
  <si>
    <t>Dest Town</t>
  </si>
  <si>
    <t>Dest Postal Code</t>
  </si>
  <si>
    <t>Description of Contents</t>
  </si>
  <si>
    <t>POD Scan Date</t>
  </si>
  <si>
    <t>Status</t>
  </si>
  <si>
    <t>MF Comments</t>
  </si>
  <si>
    <t>Actual Days</t>
  </si>
  <si>
    <t>Agreed Days</t>
  </si>
  <si>
    <t>Rate</t>
  </si>
  <si>
    <t>Early Delivery</t>
  </si>
  <si>
    <t>Early Delivery Time</t>
  </si>
  <si>
    <t>MA Info</t>
  </si>
  <si>
    <t>J17988</t>
  </si>
  <si>
    <t xml:space="preserve">MOVE ANALYTICS CC - GABLER MEDICAL </t>
  </si>
  <si>
    <t>WAY</t>
  </si>
  <si>
    <t>CAPET</t>
  </si>
  <si>
    <t>CAPE TOWN</t>
  </si>
  <si>
    <t xml:space="preserve">Gabler Medical                     </t>
  </si>
  <si>
    <t xml:space="preserve">                                   </t>
  </si>
  <si>
    <t>PRETO</t>
  </si>
  <si>
    <t>PRETORIA</t>
  </si>
  <si>
    <t xml:space="preserve">Netcare Pretoria East Hospital     </t>
  </si>
  <si>
    <t>DBC</t>
  </si>
  <si>
    <t>PHILANI</t>
  </si>
  <si>
    <t>Jeffrey Jacobs</t>
  </si>
  <si>
    <t>Philani Mhlongo</t>
  </si>
  <si>
    <t>yes</t>
  </si>
  <si>
    <t>POD received from cell 0665269457 M</t>
  </si>
  <si>
    <t>0001</t>
  </si>
  <si>
    <t xml:space="preserve">BOX MED                       </t>
  </si>
  <si>
    <t>no</t>
  </si>
  <si>
    <t>DURBA</t>
  </si>
  <si>
    <t>DURBAN</t>
  </si>
  <si>
    <t xml:space="preserve">Isipingo Hospital                  </t>
  </si>
  <si>
    <t>SR MARGARET</t>
  </si>
  <si>
    <t>m moilco</t>
  </si>
  <si>
    <t>POD received from cell 0661903076 M</t>
  </si>
  <si>
    <t>SANDT</t>
  </si>
  <si>
    <t>SANDTON</t>
  </si>
  <si>
    <t xml:space="preserve">CURE DAY HOSPITAL FOURWAYS         </t>
  </si>
  <si>
    <t>ON1</t>
  </si>
  <si>
    <t>thato</t>
  </si>
  <si>
    <t>FUE / DOC</t>
  </si>
  <si>
    <t>POD received from cell 0735871460 M</t>
  </si>
  <si>
    <t>FLYER SUTURES-4</t>
  </si>
  <si>
    <t xml:space="preserve">NETCARE PARKLANDS HOSPITAL         </t>
  </si>
  <si>
    <t>LENDL</t>
  </si>
  <si>
    <t>rudhaad</t>
  </si>
  <si>
    <t>POD received from cell 0619955001 M</t>
  </si>
  <si>
    <t>FLYER SUTURES-2</t>
  </si>
  <si>
    <t>HERMA</t>
  </si>
  <si>
    <t>HERMANUS</t>
  </si>
  <si>
    <t xml:space="preserve">Hermanus Day Hospit                </t>
  </si>
  <si>
    <t>ELAINE</t>
  </si>
  <si>
    <t>meghan</t>
  </si>
  <si>
    <t>POD received from cell 0627198686 M</t>
  </si>
  <si>
    <t>FLYER SUTURES-1</t>
  </si>
  <si>
    <t>created only</t>
  </si>
  <si>
    <t>PIET2</t>
  </si>
  <si>
    <t>PIETERSBURG</t>
  </si>
  <si>
    <t xml:space="preserve">Mediclinic Limpopo                 </t>
  </si>
  <si>
    <t>VINOLIAH</t>
  </si>
  <si>
    <t>Thabo</t>
  </si>
  <si>
    <t>POD received from cell 0762500778 M</t>
  </si>
  <si>
    <t>0699</t>
  </si>
  <si>
    <t>BOX SUTURES-11</t>
  </si>
  <si>
    <t>STEL2</t>
  </si>
  <si>
    <t>STELLENBOSCH</t>
  </si>
  <si>
    <t xml:space="preserve">Disa Med Stellenbosch              </t>
  </si>
  <si>
    <t>JUANEL</t>
  </si>
  <si>
    <t xml:space="preserve">d rito                        </t>
  </si>
  <si>
    <t xml:space="preserve">POD received from cell 0732547403 M     </t>
  </si>
  <si>
    <t>VRYHE</t>
  </si>
  <si>
    <t>VRYHEID</t>
  </si>
  <si>
    <t xml:space="preserve">Abaqulusi Private Hospit           </t>
  </si>
  <si>
    <t>PHY</t>
  </si>
  <si>
    <t>PHILISIWE</t>
  </si>
  <si>
    <t>SOME2</t>
  </si>
  <si>
    <t>SOMERSET WEST</t>
  </si>
  <si>
    <t xml:space="preserve">Mediclinic Vergelegen Pharmacy     </t>
  </si>
  <si>
    <t>THE PHARMACIST</t>
  </si>
  <si>
    <t>william</t>
  </si>
  <si>
    <t>POD received from cell 0622930487 M</t>
  </si>
  <si>
    <t>FLYER SUTURES-3</t>
  </si>
  <si>
    <t xml:space="preserve">DR H L ELS AND ASSOCIATES          </t>
  </si>
  <si>
    <t>Martha</t>
  </si>
  <si>
    <t>POD received from cell 0725065770 M</t>
  </si>
  <si>
    <t>0081</t>
  </si>
  <si>
    <t>PORT3</t>
  </si>
  <si>
    <t>PORT ELIZABETH</t>
  </si>
  <si>
    <t xml:space="preserve">EDGE DAY HOPITAL                   </t>
  </si>
  <si>
    <t>SWENI</t>
  </si>
  <si>
    <t>BOX LINERS-50 BOX LINERS-50 BOX LINERS-50</t>
  </si>
  <si>
    <t xml:space="preserve">DR Roger Graham                    </t>
  </si>
  <si>
    <t>SR BETS</t>
  </si>
  <si>
    <t>Martin</t>
  </si>
  <si>
    <t>Missed cutoff</t>
  </si>
  <si>
    <t>JUH</t>
  </si>
  <si>
    <t>POD received from cell 0813552012 M</t>
  </si>
  <si>
    <t>PAARL</t>
  </si>
  <si>
    <t xml:space="preserve">Vetscape                           </t>
  </si>
  <si>
    <t>NINA</t>
  </si>
  <si>
    <t>S JACOBS</t>
  </si>
  <si>
    <t>juh</t>
  </si>
  <si>
    <t>BOX SUTURES-7</t>
  </si>
  <si>
    <t>MMABA</t>
  </si>
  <si>
    <t>MMABATHO</t>
  </si>
  <si>
    <t xml:space="preserve">MMABATHO MEDICAL STORES            </t>
  </si>
  <si>
    <t>STORES</t>
  </si>
  <si>
    <t>abram</t>
  </si>
  <si>
    <t>POD received from cell 0637157213 M</t>
  </si>
  <si>
    <t xml:space="preserve">BOX SUTU                      </t>
  </si>
  <si>
    <t>WORCE</t>
  </si>
  <si>
    <t>WORCESTER</t>
  </si>
  <si>
    <t xml:space="preserve">WC Health Worcester Hospit         </t>
  </si>
  <si>
    <t>Stores</t>
  </si>
  <si>
    <t>?</t>
  </si>
  <si>
    <t>MIDD2</t>
  </si>
  <si>
    <t>MIDDELBURG (Mpumalanga)</t>
  </si>
  <si>
    <t xml:space="preserve">Dept of Health Mpumalanga          </t>
  </si>
  <si>
    <t>NKOSINATHI</t>
  </si>
  <si>
    <t>hendrick</t>
  </si>
  <si>
    <t>Outlying delivery location</t>
  </si>
  <si>
    <t>crn</t>
  </si>
  <si>
    <t>ROODE</t>
  </si>
  <si>
    <t>ROODEPOORT</t>
  </si>
  <si>
    <t xml:space="preserve">AJ MURPHY FLOWERS PTY LTD          </t>
  </si>
  <si>
    <t>JACORI</t>
  </si>
  <si>
    <t>Joy Nsele</t>
  </si>
  <si>
    <t>POD received from cell 0715201240 M</t>
  </si>
  <si>
    <t>VERWO</t>
  </si>
  <si>
    <t>CENTURION</t>
  </si>
  <si>
    <t xml:space="preserve">Imvula Healthcare Logistics        </t>
  </si>
  <si>
    <t>ASHLEY</t>
  </si>
  <si>
    <t>alice</t>
  </si>
  <si>
    <t>POD received from cell 0790678352 M</t>
  </si>
  <si>
    <t>0157</t>
  </si>
  <si>
    <t xml:space="preserve">PROVINCIAL OFFICE NORTH WEST       </t>
  </si>
  <si>
    <t>Redirect waybill on waybill nu</t>
  </si>
  <si>
    <t>Redirect waybill on waybill number RGAB2</t>
  </si>
  <si>
    <t xml:space="preserve">Box Med                       </t>
  </si>
  <si>
    <t>TZANE</t>
  </si>
  <si>
    <t>TZANEEN</t>
  </si>
  <si>
    <t xml:space="preserve">Mankweng Hospit                    </t>
  </si>
  <si>
    <t>SONTAGA</t>
  </si>
  <si>
    <t>linkie</t>
  </si>
  <si>
    <t>POD received from cell 0791933005 M</t>
  </si>
  <si>
    <t>0727</t>
  </si>
  <si>
    <t>WELKO</t>
  </si>
  <si>
    <t>WELKOM</t>
  </si>
  <si>
    <t xml:space="preserve">Meulen Pharmacy                    </t>
  </si>
  <si>
    <t>NEIL</t>
  </si>
  <si>
    <t xml:space="preserve">Vincent                       </t>
  </si>
  <si>
    <t xml:space="preserve">POD received from cell 0637402252 M     </t>
  </si>
  <si>
    <t xml:space="preserve">Polokwane Hospit                   </t>
  </si>
  <si>
    <t>Mashwane T</t>
  </si>
  <si>
    <t>ELLIS</t>
  </si>
  <si>
    <t>ELLISRAS</t>
  </si>
  <si>
    <t xml:space="preserve">Mediclinic Lephalale Pharmacy      </t>
  </si>
  <si>
    <t>ELMARIE</t>
  </si>
  <si>
    <t>liezel</t>
  </si>
  <si>
    <t>POD received from cell 0714831706 M</t>
  </si>
  <si>
    <t>0555</t>
  </si>
  <si>
    <t>FLYTER SUTURES-1</t>
  </si>
  <si>
    <t xml:space="preserve">LYNS VET SUPPLIES                  </t>
  </si>
  <si>
    <t>LYN</t>
  </si>
  <si>
    <t>PINET</t>
  </si>
  <si>
    <t>PINETOWN</t>
  </si>
  <si>
    <t xml:space="preserve">Med Pak cc TA                      </t>
  </si>
  <si>
    <t>KYLE</t>
  </si>
  <si>
    <t>Victor</t>
  </si>
  <si>
    <t>POD received from cell 0671865619 M</t>
  </si>
  <si>
    <t>BOX SUTURES-9</t>
  </si>
  <si>
    <t xml:space="preserve">SABS                               </t>
  </si>
  <si>
    <t>MICHELLE</t>
  </si>
  <si>
    <t>Elkhin</t>
  </si>
  <si>
    <t>POD received from cell 0607774851 M</t>
  </si>
  <si>
    <t>0002</t>
  </si>
  <si>
    <t>SAMPLES</t>
  </si>
  <si>
    <t xml:space="preserve">WC Health False Bay Hospit         </t>
  </si>
  <si>
    <t xml:space="preserve">MAYO CLINIC  MAYO 2 THEATRE        </t>
  </si>
  <si>
    <t xml:space="preserve">christelle                    </t>
  </si>
  <si>
    <t xml:space="preserve">POD received from cell 0699944932 M     </t>
  </si>
  <si>
    <t xml:space="preserve">Disa Med Constantia Pharmacy       </t>
  </si>
  <si>
    <t>MARTIN</t>
  </si>
  <si>
    <t>martin</t>
  </si>
  <si>
    <t xml:space="preserve">MUELMED HOSPITAL PHY               </t>
  </si>
  <si>
    <t>Tshilidzi</t>
  </si>
  <si>
    <t>POD received from cell 0792349111 M</t>
  </si>
  <si>
    <t>0083</t>
  </si>
  <si>
    <t>THAB1</t>
  </si>
  <si>
    <t>THABAZIMBI</t>
  </si>
  <si>
    <t xml:space="preserve">Thabazimbi Mediclinic              </t>
  </si>
  <si>
    <t>ANNALIE</t>
  </si>
  <si>
    <t>mpho</t>
  </si>
  <si>
    <t>POD received from cell 0753415000 M</t>
  </si>
  <si>
    <t>0380</t>
  </si>
  <si>
    <t xml:space="preserve">GABLER MEDICAL                     </t>
  </si>
  <si>
    <t>MINETTE</t>
  </si>
  <si>
    <t>Patricia</t>
  </si>
  <si>
    <t>POD received from cell 0649538281 M</t>
  </si>
  <si>
    <t>FLYER SUTURES-7</t>
  </si>
  <si>
    <t xml:space="preserve">DR COLIA VAN STRATEN               </t>
  </si>
  <si>
    <t>MARISSA</t>
  </si>
  <si>
    <t>Marissa</t>
  </si>
  <si>
    <t>BOX SUTURES-10</t>
  </si>
  <si>
    <t xml:space="preserve">BUSAMED HILLCREST PRIVATE HOSP     </t>
  </si>
  <si>
    <t xml:space="preserve">sanele                        </t>
  </si>
  <si>
    <t xml:space="preserve">POD received from cell 0674189363 M     </t>
  </si>
  <si>
    <t xml:space="preserve">Paarl Medi Clinic                  </t>
  </si>
  <si>
    <t>PHY MANAGER</t>
  </si>
  <si>
    <t>esmine</t>
  </si>
  <si>
    <t>POD received from cell 0671392487 M</t>
  </si>
  <si>
    <t xml:space="preserve">Netcare Cuyler Hosp.               </t>
  </si>
  <si>
    <t>MAIN THEATRE</t>
  </si>
  <si>
    <t>maria</t>
  </si>
  <si>
    <t>POD received from cell 0793062989 M</t>
  </si>
  <si>
    <t xml:space="preserve">garaldine                     </t>
  </si>
  <si>
    <t xml:space="preserve">POD received from cell 0813352451 M     </t>
  </si>
  <si>
    <t>BOX SUTURES-100 BOX SUTURES-50</t>
  </si>
  <si>
    <t xml:space="preserve">Cintocare                          </t>
  </si>
  <si>
    <t>edridge</t>
  </si>
  <si>
    <t>POD received from cell 0712494447 M</t>
  </si>
  <si>
    <t xml:space="preserve">Netcare Jakaranda Hospital         </t>
  </si>
  <si>
    <t>Captain  Pharmacy</t>
  </si>
  <si>
    <t>POD received from cell 0727824353 M</t>
  </si>
  <si>
    <t xml:space="preserve">Life Wilgers Hospital              </t>
  </si>
  <si>
    <t>ANITA</t>
  </si>
  <si>
    <t>jacqueline</t>
  </si>
  <si>
    <t>POD received from cell 0645503437 M</t>
  </si>
  <si>
    <t>FLYER SUTURES-</t>
  </si>
  <si>
    <t xml:space="preserve">LIFE ENTABENI Hospit               </t>
  </si>
  <si>
    <t>RAKSHA</t>
  </si>
  <si>
    <t>FANAFUTHI</t>
  </si>
  <si>
    <t>Late Linehaul Delayed Beyond Skynet Control</t>
  </si>
  <si>
    <t>COL</t>
  </si>
  <si>
    <t>POD received from cell 0716311909 M</t>
  </si>
  <si>
    <t>FLYER SUTURE-1</t>
  </si>
  <si>
    <t>UPING</t>
  </si>
  <si>
    <t>UPINGTON</t>
  </si>
  <si>
    <t xml:space="preserve">Upington Mediclinic                </t>
  </si>
  <si>
    <t>FERICKA</t>
  </si>
  <si>
    <t xml:space="preserve">victoria                      </t>
  </si>
  <si>
    <t xml:space="preserve">POD received from cell 0603550745 M     </t>
  </si>
  <si>
    <t xml:space="preserve">WC HEALTH PAARL Hospit             </t>
  </si>
  <si>
    <t>MRS M LUDICK</t>
  </si>
  <si>
    <t>M Kozain</t>
  </si>
  <si>
    <t>FLYER SUTURERS-6</t>
  </si>
  <si>
    <t>BRIT1</t>
  </si>
  <si>
    <t>BRITS</t>
  </si>
  <si>
    <t xml:space="preserve">DISA MED PHARMACY BRITS            </t>
  </si>
  <si>
    <t>JOHANNA</t>
  </si>
  <si>
    <t>Onicca</t>
  </si>
  <si>
    <t>POD received from cell 0790934153 M</t>
  </si>
  <si>
    <t>0250</t>
  </si>
  <si>
    <t>ISIPI</t>
  </si>
  <si>
    <t>ISIPINGO</t>
  </si>
  <si>
    <t xml:space="preserve">ISIPINGO HOSPITAL DISPENSARY       </t>
  </si>
  <si>
    <t>nirel</t>
  </si>
  <si>
    <t>lev</t>
  </si>
  <si>
    <t>HND / FUE / DOC</t>
  </si>
  <si>
    <t>POD received from cell 0769518219 M</t>
  </si>
  <si>
    <t>BOX LINERS-50 BOX LINERS-50 BOX LINERS-50 BOX LIN</t>
  </si>
  <si>
    <t xml:space="preserve">ADVANCED HARBOUR BAY               </t>
  </si>
  <si>
    <t>CLAUDE</t>
  </si>
  <si>
    <t>Malcolm</t>
  </si>
  <si>
    <t>POD received from cell 0834604438 M</t>
  </si>
  <si>
    <t>BETHL</t>
  </si>
  <si>
    <t>BETHLEHEM</t>
  </si>
  <si>
    <t xml:space="preserve">Hoogland Medi Clinic Pharmacy      </t>
  </si>
  <si>
    <t>WILMA</t>
  </si>
  <si>
    <t>joyce</t>
  </si>
  <si>
    <t>POD received from cell 0633539650 M</t>
  </si>
  <si>
    <t>D  Sherry</t>
  </si>
  <si>
    <t>POD received from cell 0739570238 M</t>
  </si>
  <si>
    <t>BOX SUTURES-15</t>
  </si>
  <si>
    <t xml:space="preserve">Netcare Unitas Pharma              </t>
  </si>
  <si>
    <t>THEATRE</t>
  </si>
  <si>
    <t>monene</t>
  </si>
  <si>
    <t>POD received from cell 0799731759 M</t>
  </si>
  <si>
    <t xml:space="preserve">MDC MONTE VISTA GP                 </t>
  </si>
  <si>
    <t>Theatre</t>
  </si>
  <si>
    <t>Meryl</t>
  </si>
  <si>
    <t>POD received from cell 0603198585 M</t>
  </si>
  <si>
    <t>Flyer Sutures-1</t>
  </si>
  <si>
    <t>BLOE1</t>
  </si>
  <si>
    <t>BLOEMFONTEIN</t>
  </si>
  <si>
    <t>KIM GRAUSO</t>
  </si>
  <si>
    <t>TRACEY COETZEE</t>
  </si>
  <si>
    <t>Reuben</t>
  </si>
  <si>
    <t>jam</t>
  </si>
  <si>
    <t>POD received from cell 0659386993 M</t>
  </si>
  <si>
    <t>PARCEL</t>
  </si>
  <si>
    <t xml:space="preserve">GLOBLER  MEDICAL                   </t>
  </si>
  <si>
    <t>BALOIS  V  PIETZEN</t>
  </si>
  <si>
    <t>.</t>
  </si>
  <si>
    <t xml:space="preserve">LPPD WAREHOUSE                     </t>
  </si>
  <si>
    <t>N Ebrahim</t>
  </si>
  <si>
    <t>tjale</t>
  </si>
  <si>
    <t>POD received from cell 0712641104 M</t>
  </si>
  <si>
    <t>0701</t>
  </si>
  <si>
    <t xml:space="preserve">Box Sutu                      </t>
  </si>
  <si>
    <t>Nina</t>
  </si>
  <si>
    <t>MERCIA</t>
  </si>
  <si>
    <t>LLH</t>
  </si>
  <si>
    <t>ALICE</t>
  </si>
  <si>
    <t xml:space="preserve">Victoria Hospit Alice              </t>
  </si>
  <si>
    <t xml:space="preserve">shugu                         </t>
  </si>
  <si>
    <t xml:space="preserve">                                        </t>
  </si>
  <si>
    <t xml:space="preserve">Wentworth Hospit                   </t>
  </si>
  <si>
    <t>Ricardo</t>
  </si>
  <si>
    <t>B M SITHOLE</t>
  </si>
  <si>
    <t>POD received from cell 0661437222 M</t>
  </si>
  <si>
    <t>GELUK</t>
  </si>
  <si>
    <t>GELUKWAARTS</t>
  </si>
  <si>
    <t xml:space="preserve">DCS BIZZAH MAKHATE                 </t>
  </si>
  <si>
    <t>Bianca</t>
  </si>
  <si>
    <t>WILLIE</t>
  </si>
  <si>
    <t xml:space="preserve">Ascot Park Dispensary - Hospif     </t>
  </si>
  <si>
    <t>KIRAN</t>
  </si>
  <si>
    <t>nonduduzo</t>
  </si>
  <si>
    <t>POD received from cell 0658550146 M</t>
  </si>
  <si>
    <t xml:space="preserve">DURDOC CLINIC                      </t>
  </si>
  <si>
    <t>CHRISTINA</t>
  </si>
  <si>
    <t>jerusha</t>
  </si>
  <si>
    <t>POD received from cell 0797318730 M</t>
  </si>
  <si>
    <t xml:space="preserve">BOX LINE                      </t>
  </si>
  <si>
    <t>SUSAN</t>
  </si>
  <si>
    <t>rixile</t>
  </si>
  <si>
    <t xml:space="preserve">FLYER SU                      </t>
  </si>
  <si>
    <t>KRUGE</t>
  </si>
  <si>
    <t>KRUGERSDORP</t>
  </si>
  <si>
    <t xml:space="preserve">Krugersdorp Private Hospit         </t>
  </si>
  <si>
    <t>MELANIE</t>
  </si>
  <si>
    <t>brownie</t>
  </si>
  <si>
    <t>POD received from cell 0715414711 M</t>
  </si>
  <si>
    <t xml:space="preserve">MED EQUI                      </t>
  </si>
  <si>
    <t>ONTLAMETSE</t>
  </si>
  <si>
    <t xml:space="preserve">Imvula Medical                     </t>
  </si>
  <si>
    <t>LYDIA</t>
  </si>
  <si>
    <t xml:space="preserve">Life Rosepark Hospital Phy         </t>
  </si>
  <si>
    <t>Lorinda</t>
  </si>
  <si>
    <t>thuani</t>
  </si>
  <si>
    <t>Flyer Suture-1</t>
  </si>
  <si>
    <t xml:space="preserve">Dr M Hannah                        </t>
  </si>
  <si>
    <t>Dr Hannah</t>
  </si>
  <si>
    <t>marie</t>
  </si>
  <si>
    <t>TONGA</t>
  </si>
  <si>
    <t>TONGAAT</t>
  </si>
  <si>
    <t xml:space="preserve">RIBUMED BALLITO DAY HOSPITAL       </t>
  </si>
  <si>
    <t>Darnell</t>
  </si>
  <si>
    <t xml:space="preserve">Darnell                       </t>
  </si>
  <si>
    <t>col</t>
  </si>
  <si>
    <t xml:space="preserve">POD received from cell 0847863055 M     </t>
  </si>
  <si>
    <t>Flyer Sutures-3</t>
  </si>
  <si>
    <t>JOHAN</t>
  </si>
  <si>
    <t>JOHANNESBURG</t>
  </si>
  <si>
    <t xml:space="preserve">Mediclinic  S ton Pharma           </t>
  </si>
  <si>
    <t>Comfort</t>
  </si>
  <si>
    <t>Marcus</t>
  </si>
  <si>
    <t>POD received from cell 0697385380 M</t>
  </si>
  <si>
    <t xml:space="preserve">Lyns Vet Supplies                  </t>
  </si>
  <si>
    <t>Lyn</t>
  </si>
  <si>
    <t>pennyh</t>
  </si>
  <si>
    <t>POD received from cell 0723748549 M</t>
  </si>
  <si>
    <t xml:space="preserve">Multicare Medical                  </t>
  </si>
  <si>
    <t>Chantelle</t>
  </si>
  <si>
    <t xml:space="preserve">Tabitha                       </t>
  </si>
  <si>
    <t xml:space="preserve">POD received from cell 0693852220 M     </t>
  </si>
  <si>
    <t xml:space="preserve">AHMED Al-Kadi Private Hospital     </t>
  </si>
  <si>
    <t>Cassim</t>
  </si>
  <si>
    <t>Cameron</t>
  </si>
  <si>
    <t>ntm</t>
  </si>
  <si>
    <t>POD received from cell 0710947808 M</t>
  </si>
  <si>
    <t xml:space="preserve">Bioclin Solutions                  </t>
  </si>
  <si>
    <t>ANNE</t>
  </si>
  <si>
    <t>wrlson</t>
  </si>
  <si>
    <t>POD received from cell 0813853853 M</t>
  </si>
  <si>
    <t>BOKSB</t>
  </si>
  <si>
    <t>BOKSBURG</t>
  </si>
  <si>
    <t xml:space="preserve">Clinix Botshelong - Empilweni      </t>
  </si>
  <si>
    <t>MDUDUZI</t>
  </si>
  <si>
    <t>Brian</t>
  </si>
  <si>
    <t>POD received from cell 0670696062 M</t>
  </si>
  <si>
    <t>RUSTE</t>
  </si>
  <si>
    <t>RUSTENBURG</t>
  </si>
  <si>
    <t xml:space="preserve">Life Peglerae Hospit               </t>
  </si>
  <si>
    <t>SONIQUE</t>
  </si>
  <si>
    <t>Johanna</t>
  </si>
  <si>
    <t>POD received from cell 0781730799 M</t>
  </si>
  <si>
    <t>0300</t>
  </si>
  <si>
    <t xml:space="preserve">Netcare Sunninghill PHARMACY       </t>
  </si>
  <si>
    <t>PHARMACY</t>
  </si>
  <si>
    <t>KULANO</t>
  </si>
  <si>
    <t xml:space="preserve">Netcare St Augustine s Hospita     </t>
  </si>
  <si>
    <t xml:space="preserve">Cecil                         </t>
  </si>
  <si>
    <t xml:space="preserve">POD received from cell 0716311909 M     </t>
  </si>
  <si>
    <t xml:space="preserve">VINDMED MEDICAL SUPPLIES           </t>
  </si>
  <si>
    <t>ADRI</t>
  </si>
  <si>
    <t>Minette</t>
  </si>
  <si>
    <t>POD received from cell 0723623160 M</t>
  </si>
  <si>
    <t>0062</t>
  </si>
  <si>
    <t xml:space="preserve">Flora ClinicDeliveries Office      </t>
  </si>
  <si>
    <t>PHIA</t>
  </si>
  <si>
    <t>sithembile</t>
  </si>
  <si>
    <t>POD received from cell 0699944932 M</t>
  </si>
  <si>
    <t>asanda</t>
  </si>
  <si>
    <t xml:space="preserve">DR JA MUIRE -COD ACCOUNT           </t>
  </si>
  <si>
    <t xml:space="preserve">c nauder                      </t>
  </si>
  <si>
    <t xml:space="preserve">POD received from cell 0823615061 M     </t>
  </si>
  <si>
    <t>0182</t>
  </si>
  <si>
    <t>FLYER SUTURES-5</t>
  </si>
  <si>
    <t xml:space="preserve">The Surgical Institute             </t>
  </si>
  <si>
    <t>VALENCIA</t>
  </si>
  <si>
    <t>Lerato</t>
  </si>
  <si>
    <t>POD received from cell 0738726261 M</t>
  </si>
  <si>
    <t>BOX SUTURES-16</t>
  </si>
  <si>
    <t xml:space="preserve">Witbank Veterinary Hospit          </t>
  </si>
  <si>
    <t>MELANDRIE</t>
  </si>
  <si>
    <t>rinhan</t>
  </si>
  <si>
    <t xml:space="preserve">Netcare Greenacres                 </t>
  </si>
  <si>
    <t>MAIN PHY</t>
  </si>
  <si>
    <t xml:space="preserve">Belinda                       </t>
  </si>
  <si>
    <t xml:space="preserve">POD received from cell 0817078010 M     </t>
  </si>
  <si>
    <t xml:space="preserve">DR RHOODIE GARRANA                 </t>
  </si>
  <si>
    <t>MADELEIN</t>
  </si>
  <si>
    <t>m gaus</t>
  </si>
  <si>
    <t>POD received from cell 0606555504 M</t>
  </si>
  <si>
    <t>BOX SUTUIRES-8</t>
  </si>
  <si>
    <t xml:space="preserve">MULTICARE MEDICAL                  </t>
  </si>
  <si>
    <t>CHANTELLE</t>
  </si>
  <si>
    <t>JEFFREY JACOBS</t>
  </si>
  <si>
    <t xml:space="preserve">tabitha                       </t>
  </si>
  <si>
    <t xml:space="preserve">?                             </t>
  </si>
  <si>
    <t>PIET1</t>
  </si>
  <si>
    <t>PIETERMARITZBURG</t>
  </si>
  <si>
    <t xml:space="preserve">Midlands Medical Centre            </t>
  </si>
  <si>
    <t>DASH</t>
  </si>
  <si>
    <t>greg</t>
  </si>
  <si>
    <t>NELSP</t>
  </si>
  <si>
    <t>NELSPRUIT</t>
  </si>
  <si>
    <t xml:space="preserve">BUSAMED LOWVELD PRIVATE HOSPIT     </t>
  </si>
  <si>
    <t>HAPPY</t>
  </si>
  <si>
    <t>Andile</t>
  </si>
  <si>
    <t>POD received from cell 0760162059 M</t>
  </si>
  <si>
    <t>boitumelo</t>
  </si>
  <si>
    <t>VEREE</t>
  </si>
  <si>
    <t>VEREENIGING</t>
  </si>
  <si>
    <t xml:space="preserve">SEBOKENG HOSPITAL                  </t>
  </si>
  <si>
    <t>SIYABONGA</t>
  </si>
  <si>
    <t>TSHIDI</t>
  </si>
  <si>
    <t xml:space="preserve">Onderstepoort Veterinary           </t>
  </si>
  <si>
    <t>tebogo</t>
  </si>
  <si>
    <t>POD received from cell 0726543055 M</t>
  </si>
  <si>
    <t>0110</t>
  </si>
  <si>
    <t xml:space="preserve">King Dinuzulu Hospit               </t>
  </si>
  <si>
    <t>thanda</t>
  </si>
  <si>
    <t>POD received from cell 0616235761 M</t>
  </si>
  <si>
    <t>EAST</t>
  </si>
  <si>
    <t>EAST LONDON</t>
  </si>
  <si>
    <t xml:space="preserve">Frere Hospit                       </t>
  </si>
  <si>
    <t>thimna</t>
  </si>
  <si>
    <t>POD received from cell 0732794033 M</t>
  </si>
  <si>
    <t>DARNELL</t>
  </si>
  <si>
    <t>LEV</t>
  </si>
  <si>
    <t>POD received from cell 0847863055 M</t>
  </si>
  <si>
    <t>msizi</t>
  </si>
  <si>
    <t>POD received from cell 0674189363 M</t>
  </si>
  <si>
    <t>DR HANNAH</t>
  </si>
  <si>
    <t>helen</t>
  </si>
  <si>
    <t>DOC / FUE</t>
  </si>
  <si>
    <t xml:space="preserve">Valley Farm Animal Hospit          </t>
  </si>
  <si>
    <t>MELISSA</t>
  </si>
  <si>
    <t xml:space="preserve">H Hosan                       </t>
  </si>
  <si>
    <t xml:space="preserve">POD received from cell 0725065770 M     </t>
  </si>
  <si>
    <t>0043</t>
  </si>
  <si>
    <t>andile</t>
  </si>
  <si>
    <t xml:space="preserve">INKOSI ALBERT LUTHULI              </t>
  </si>
  <si>
    <t>Nokwazi</t>
  </si>
  <si>
    <t>BENON</t>
  </si>
  <si>
    <t>BENONI</t>
  </si>
  <si>
    <t xml:space="preserve">MMC BENONI DAY HOSPITAL            </t>
  </si>
  <si>
    <t>Lesego</t>
  </si>
  <si>
    <t>POD received from cell 0614527212 M</t>
  </si>
  <si>
    <t>FLYER SUTURES-6</t>
  </si>
  <si>
    <t>KEMPT</t>
  </si>
  <si>
    <t>KEMPTON PARK</t>
  </si>
  <si>
    <t xml:space="preserve">Arwyp Medical Cntr                 </t>
  </si>
  <si>
    <t>COLLEEN</t>
  </si>
  <si>
    <t xml:space="preserve">Petrus                        </t>
  </si>
  <si>
    <t xml:space="preserve">POD received from cell 0659348365 M     </t>
  </si>
  <si>
    <t xml:space="preserve">NETCARE KUILSRIVER HOSPITAL MA     </t>
  </si>
  <si>
    <t>CORNEL</t>
  </si>
  <si>
    <t xml:space="preserve">Ernest                        </t>
  </si>
  <si>
    <t xml:space="preserve">POD received from cell 0749349281 M     </t>
  </si>
  <si>
    <t>FLYER SUTURES-01</t>
  </si>
  <si>
    <t xml:space="preserve">Life St Dominics Hospital          </t>
  </si>
  <si>
    <t>BRETT</t>
  </si>
  <si>
    <t>raeeze</t>
  </si>
  <si>
    <t>POD received from cell 0780568122 M</t>
  </si>
  <si>
    <t>POD received from cell 0726316905 M</t>
  </si>
  <si>
    <t xml:space="preserve">bester                        </t>
  </si>
  <si>
    <t xml:space="preserve">POD received from cell 0720364384 M     </t>
  </si>
  <si>
    <t xml:space="preserve">LIFE COSMOS PHARMACY               </t>
  </si>
  <si>
    <t>velaphi</t>
  </si>
  <si>
    <t>POD received from cell 0793866786 M</t>
  </si>
  <si>
    <t>ANDREW</t>
  </si>
  <si>
    <t xml:space="preserve">Greys Hospit                       </t>
  </si>
  <si>
    <t>ZANDILE</t>
  </si>
  <si>
    <t>n ngubane</t>
  </si>
  <si>
    <t>POD received from cell 0784468189 M</t>
  </si>
  <si>
    <t>SUTURE SAMPLES</t>
  </si>
  <si>
    <t>CEBILE</t>
  </si>
  <si>
    <t>FLYER MED EQUIPMEN</t>
  </si>
  <si>
    <t>GLADNESS</t>
  </si>
  <si>
    <t xml:space="preserve">mdu                           </t>
  </si>
  <si>
    <t xml:space="preserve">POD received from cell 0670696062 M     </t>
  </si>
  <si>
    <t xml:space="preserve">DISA MED CONSTANTIA PHARMACY       </t>
  </si>
  <si>
    <t>penny</t>
  </si>
  <si>
    <t>STANG</t>
  </si>
  <si>
    <t>STANGER</t>
  </si>
  <si>
    <t xml:space="preserve">KWADUKUZA PRIVATE HOSPIT           </t>
  </si>
  <si>
    <t>nonhlanz</t>
  </si>
  <si>
    <t>POD received from cell 0814411638 M</t>
  </si>
  <si>
    <t xml:space="preserve">CURE DAY HOSPITALS PAARL           </t>
  </si>
  <si>
    <t xml:space="preserve">Donovan                       </t>
  </si>
  <si>
    <t xml:space="preserve">POD received from cell 0844433687 M     </t>
  </si>
  <si>
    <t xml:space="preserve">VETSCAPE                           </t>
  </si>
  <si>
    <t>CODE</t>
  </si>
  <si>
    <t>Consignee not available)</t>
  </si>
  <si>
    <t xml:space="preserve">ROYAL BUFFALO SPECIALIST HOSPI     </t>
  </si>
  <si>
    <t>sivuyile</t>
  </si>
  <si>
    <t xml:space="preserve">GABLER                             </t>
  </si>
  <si>
    <t>MONIQUE</t>
  </si>
  <si>
    <t>LEVENE</t>
  </si>
  <si>
    <t>PIM</t>
  </si>
  <si>
    <t>BRENTON</t>
  </si>
  <si>
    <t>TRACEY</t>
  </si>
  <si>
    <t>PATRICIA NTONGA</t>
  </si>
  <si>
    <t>tracey</t>
  </si>
  <si>
    <t>the</t>
  </si>
  <si>
    <t xml:space="preserve">SKYNET  KZN                        </t>
  </si>
  <si>
    <t>KIM</t>
  </si>
  <si>
    <t>PEREY  NDLOVU</t>
  </si>
  <si>
    <t>KIM BERNON</t>
  </si>
  <si>
    <t>Hold for Collection</t>
  </si>
  <si>
    <t>FUE / doc</t>
  </si>
  <si>
    <t xml:space="preserve">GABLER  MEDICAL                    </t>
  </si>
  <si>
    <t>MONIQUE MOSTERT</t>
  </si>
  <si>
    <t>Neil</t>
  </si>
  <si>
    <t>Vincent</t>
  </si>
  <si>
    <t>POD received from cell 0637402252 M</t>
  </si>
  <si>
    <t>Box Sutures-2</t>
  </si>
  <si>
    <t xml:space="preserve">WP Fasteners                       </t>
  </si>
  <si>
    <t>JEFFREY</t>
  </si>
  <si>
    <t>Dinah Huma</t>
  </si>
  <si>
    <t>Box</t>
  </si>
  <si>
    <t>SASOL</t>
  </si>
  <si>
    <t>SASOLBURG</t>
  </si>
  <si>
    <t xml:space="preserve">ER MEDICAL                         </t>
  </si>
  <si>
    <t>LYNN</t>
  </si>
  <si>
    <t>lynn</t>
  </si>
  <si>
    <t>POD received from cell 0680792574 M</t>
  </si>
  <si>
    <t>patricia</t>
  </si>
  <si>
    <t xml:space="preserve">BO SUTUR                      </t>
  </si>
  <si>
    <t xml:space="preserve">Naledi Nkayezi - Sebokeng Clin     </t>
  </si>
  <si>
    <t>MR MODISE</t>
  </si>
  <si>
    <t>Zukiswa</t>
  </si>
  <si>
    <t>POD received from cell 0622735703 M</t>
  </si>
  <si>
    <t>AVISHA</t>
  </si>
  <si>
    <t>hlengiwe</t>
  </si>
  <si>
    <t xml:space="preserve">Steve Biko Academic Hospit         </t>
  </si>
  <si>
    <t>MR GERARD</t>
  </si>
  <si>
    <t>Divire</t>
  </si>
  <si>
    <t>POD received from cell 0684446086 M</t>
  </si>
  <si>
    <t xml:space="preserve">Botshilu Private Hospit            </t>
  </si>
  <si>
    <t>COLLEN</t>
  </si>
  <si>
    <t>Amos</t>
  </si>
  <si>
    <t>POD received from cell 0762590272 M</t>
  </si>
  <si>
    <t>0152</t>
  </si>
  <si>
    <t xml:space="preserve">FLYER ME                      </t>
  </si>
  <si>
    <t xml:space="preserve">Netcare Kuilsriver Hospital Ma     </t>
  </si>
  <si>
    <t>RIAN</t>
  </si>
  <si>
    <t>Moltogting</t>
  </si>
  <si>
    <t>POD received from cell 0749349281 M</t>
  </si>
  <si>
    <t xml:space="preserve">HILLSIDE VETERINARY                </t>
  </si>
  <si>
    <t>CATHERINE</t>
  </si>
  <si>
    <t>Megan</t>
  </si>
  <si>
    <t>POD received from cell 0792230061 M</t>
  </si>
  <si>
    <t>STORES-</t>
  </si>
  <si>
    <t>Pule</t>
  </si>
  <si>
    <t>POD received from cell 0735647467 M</t>
  </si>
  <si>
    <t>mphillseni</t>
  </si>
  <si>
    <t>POD received from cell 0643638644 M</t>
  </si>
  <si>
    <t xml:space="preserve">Nelspruit Surgiclinic              </t>
  </si>
  <si>
    <t>KAREN</t>
  </si>
  <si>
    <t>dudu</t>
  </si>
  <si>
    <t xml:space="preserve">Nelson Mandela Childrens Hospi     </t>
  </si>
  <si>
    <t>Ephraim</t>
  </si>
  <si>
    <t>amogelang</t>
  </si>
  <si>
    <t>POD received from cell 0739842626 M</t>
  </si>
  <si>
    <t>KNYSN</t>
  </si>
  <si>
    <t>KNYSNA</t>
  </si>
  <si>
    <t xml:space="preserve">LIFE KNYSNA PHY                    </t>
  </si>
  <si>
    <t>PIETER</t>
  </si>
  <si>
    <t>JEROME</t>
  </si>
  <si>
    <t>RANDB</t>
  </si>
  <si>
    <t>RANDBURG</t>
  </si>
  <si>
    <t xml:space="preserve">Netcare Olivedale Hospit           </t>
  </si>
  <si>
    <t>JOHN</t>
  </si>
  <si>
    <t>Luxolo</t>
  </si>
  <si>
    <t>POD received from cell 0720457394 M</t>
  </si>
  <si>
    <t xml:space="preserve">Life Westville Hospital Phy        </t>
  </si>
  <si>
    <t>ANUSHA</t>
  </si>
  <si>
    <t>Nalini</t>
  </si>
  <si>
    <t>kamo</t>
  </si>
  <si>
    <t>POD received from cell 0720364384 M</t>
  </si>
  <si>
    <t xml:space="preserve">Life Fourways Hospital             </t>
  </si>
  <si>
    <t>CHIDO</t>
  </si>
  <si>
    <t>Keisha</t>
  </si>
  <si>
    <t>POD received from cell 0746740842 M</t>
  </si>
  <si>
    <t>LORINDA</t>
  </si>
  <si>
    <t>thulani</t>
  </si>
  <si>
    <t xml:space="preserve">DR JOHN BRONNER                    </t>
  </si>
  <si>
    <t>Helen</t>
  </si>
  <si>
    <t>karen</t>
  </si>
  <si>
    <t>Flyer Sutures-2</t>
  </si>
  <si>
    <t>D shevvy</t>
  </si>
  <si>
    <t xml:space="preserve">DR MARK STEINMANN                  </t>
  </si>
  <si>
    <t>LIZA</t>
  </si>
  <si>
    <t>SYSTEM</t>
  </si>
  <si>
    <t>ravia</t>
  </si>
  <si>
    <t>POD received from cell 0732547403 M</t>
  </si>
  <si>
    <t>FOCHV</t>
  </si>
  <si>
    <t>FOCHVILLE</t>
  </si>
  <si>
    <t xml:space="preserve">Leslie Williams Private Hospit     </t>
  </si>
  <si>
    <t>JOHANNAH</t>
  </si>
  <si>
    <t>judel</t>
  </si>
  <si>
    <t>POD received from cell 0601319867 M</t>
  </si>
  <si>
    <t xml:space="preserve">Surgical Systems                   </t>
  </si>
  <si>
    <t>ABBY</t>
  </si>
  <si>
    <t>abby</t>
  </si>
  <si>
    <t>POD received from cell 0738058187 M</t>
  </si>
  <si>
    <t>BOX SUTURES-8</t>
  </si>
  <si>
    <t>KIM    LETITIA</t>
  </si>
  <si>
    <t xml:space="preserve">SONIA PHILLIPS                     </t>
  </si>
  <si>
    <t>0849119006</t>
  </si>
  <si>
    <t>SONIA</t>
  </si>
  <si>
    <t>Redirect waybill on waybill number RR009</t>
  </si>
  <si>
    <t xml:space="preserve">Boland Dierekliniek                </t>
  </si>
  <si>
    <t>CAROL</t>
  </si>
  <si>
    <t xml:space="preserve">stephanie                     </t>
  </si>
  <si>
    <t xml:space="preserve">MEDICAL HOSPITAL OF LEBOWAKGOM     </t>
  </si>
  <si>
    <t>BELLA</t>
  </si>
  <si>
    <t>christabel</t>
  </si>
  <si>
    <t>POD received from cell 0661276981 M</t>
  </si>
  <si>
    <t>0737</t>
  </si>
  <si>
    <t xml:space="preserve">MILLNERS DENTAL SUPPLIERS          </t>
  </si>
  <si>
    <t>RASHIED</t>
  </si>
  <si>
    <t>Norman</t>
  </si>
  <si>
    <t xml:space="preserve">LIMPOPO MEDILINIC                  </t>
  </si>
  <si>
    <t>LERATO</t>
  </si>
  <si>
    <t>POD received from cell 0676482921 M</t>
  </si>
  <si>
    <t xml:space="preserve">Dr Harry Suitie Hospital           </t>
  </si>
  <si>
    <t>WILHELM</t>
  </si>
  <si>
    <t>Wilhelm Stemmet</t>
  </si>
  <si>
    <t>POD received from cell 0799240541 M</t>
  </si>
  <si>
    <t xml:space="preserve">Clinical Engineering               </t>
  </si>
  <si>
    <t>LYLE</t>
  </si>
  <si>
    <t xml:space="preserve">K BANOO                       </t>
  </si>
  <si>
    <t xml:space="preserve">Stanger Hospit                     </t>
  </si>
  <si>
    <t>IMRAN</t>
  </si>
  <si>
    <t>leul</t>
  </si>
  <si>
    <t>BOX SUTURES-14</t>
  </si>
  <si>
    <t xml:space="preserve">Impala Platinum Mines              </t>
  </si>
  <si>
    <t>LINDA</t>
  </si>
  <si>
    <t>leonard</t>
  </si>
  <si>
    <t xml:space="preserve">Clinix Tshepo                      </t>
  </si>
  <si>
    <t>pule</t>
  </si>
  <si>
    <t>POD received from cell 0742465910 M</t>
  </si>
  <si>
    <t>Jessica</t>
  </si>
  <si>
    <t>hennie</t>
  </si>
  <si>
    <t xml:space="preserve">Dr Doug Beere Inc                  </t>
  </si>
  <si>
    <t>CLAIRENE</t>
  </si>
  <si>
    <t>BRAKP</t>
  </si>
  <si>
    <t>BRAKPAN</t>
  </si>
  <si>
    <t xml:space="preserve">Life Dalview Pharmacy              </t>
  </si>
  <si>
    <t>LUYANDA</t>
  </si>
  <si>
    <t>bonginkosi</t>
  </si>
  <si>
    <t>POD received from cell 0792308326 M</t>
  </si>
  <si>
    <t xml:space="preserve">Sunninghill HospitICU              </t>
  </si>
  <si>
    <t>mkhize</t>
  </si>
  <si>
    <t>NGF</t>
  </si>
  <si>
    <t>BOX SUTURES-13</t>
  </si>
  <si>
    <t>BOTS1</t>
  </si>
  <si>
    <t>BOTSWANA (GABARONE)</t>
  </si>
  <si>
    <t xml:space="preserve">LIFE GABORONE PVT HOSPITAL         </t>
  </si>
  <si>
    <t>ICP</t>
  </si>
  <si>
    <t>DITSHUPO</t>
  </si>
  <si>
    <t>Late linehaul</t>
  </si>
  <si>
    <t>mkh</t>
  </si>
  <si>
    <t>IFL / Ndc / doc</t>
  </si>
  <si>
    <t>GABO</t>
  </si>
  <si>
    <t xml:space="preserve">LIFE ST DOMINIC S HOSPITAL         </t>
  </si>
  <si>
    <t>OLWETHU KESE</t>
  </si>
  <si>
    <t>olwethu</t>
  </si>
  <si>
    <t xml:space="preserve">.                                  </t>
  </si>
  <si>
    <t>NUR ESSOP</t>
  </si>
  <si>
    <t>JOY</t>
  </si>
  <si>
    <t>POD received from cell 0616034769 M</t>
  </si>
  <si>
    <t>JULIAN ISAACS   ALEX</t>
  </si>
  <si>
    <t>Roxanne</t>
  </si>
  <si>
    <t>Driver late</t>
  </si>
  <si>
    <t>jlc</t>
  </si>
  <si>
    <t>ref GAB2027818</t>
  </si>
  <si>
    <t xml:space="preserve">Med Equi                      </t>
  </si>
  <si>
    <t xml:space="preserve">Netcare Waterfall City Hospit      </t>
  </si>
  <si>
    <t>Patson</t>
  </si>
  <si>
    <t>POD received from cell 0605335750 M</t>
  </si>
  <si>
    <t xml:space="preserve">Medicentre Pharmacy City Hospi     </t>
  </si>
  <si>
    <t>Pharmacy</t>
  </si>
  <si>
    <t>PRETHUM</t>
  </si>
  <si>
    <t xml:space="preserve">Box Line                      </t>
  </si>
  <si>
    <t xml:space="preserve">Livingstone Hospit                 </t>
  </si>
  <si>
    <t xml:space="preserve">Flyer Su                      </t>
  </si>
  <si>
    <t xml:space="preserve">Chem-Med                           </t>
  </si>
  <si>
    <t>MaNDY</t>
  </si>
  <si>
    <t>Returned to sender on waybill</t>
  </si>
  <si>
    <t>Returned to sender on waybill number RGA</t>
  </si>
  <si>
    <t>Zandiswa</t>
  </si>
  <si>
    <t>UAT</t>
  </si>
  <si>
    <t>POD received from cell 0658421544 M</t>
  </si>
  <si>
    <t xml:space="preserve">Victoria Hospit Pharma             </t>
  </si>
  <si>
    <t>Sujaya Rajoo</t>
  </si>
  <si>
    <t>lindo</t>
  </si>
  <si>
    <t>POD received from cell 0747406106 M</t>
  </si>
  <si>
    <t>Colleen</t>
  </si>
  <si>
    <t>Flyer Sutures-4</t>
  </si>
  <si>
    <t xml:space="preserve">Fernridge Veterinary Clinic        </t>
  </si>
  <si>
    <t>Marina</t>
  </si>
  <si>
    <t>Quinn</t>
  </si>
  <si>
    <t>Box Sutures-20</t>
  </si>
  <si>
    <t xml:space="preserve">Shirnel Clinic cc                  </t>
  </si>
  <si>
    <t>Julie</t>
  </si>
  <si>
    <t>ref GAB2027817</t>
  </si>
  <si>
    <t xml:space="preserve">Clinix Itokolle Private Hospit     </t>
  </si>
  <si>
    <t>Selena</t>
  </si>
  <si>
    <t>PATRICIA</t>
  </si>
  <si>
    <t>Flyer Suture-S-2</t>
  </si>
  <si>
    <t>VRED3</t>
  </si>
  <si>
    <t>VREDENBURG</t>
  </si>
  <si>
    <t xml:space="preserve">West Coast Private Hospit          </t>
  </si>
  <si>
    <t>Elnette</t>
  </si>
  <si>
    <t>GERMAINE</t>
  </si>
  <si>
    <t xml:space="preserve">Mediclinic Stellenbosch Pharma     </t>
  </si>
  <si>
    <t>Ashley</t>
  </si>
  <si>
    <t>ref GAB2027820</t>
  </si>
  <si>
    <t>Box Sutures-8</t>
  </si>
  <si>
    <t xml:space="preserve">LIFE BEACON BAY PHARMACY           </t>
  </si>
  <si>
    <t>Jenny</t>
  </si>
  <si>
    <t>nick</t>
  </si>
  <si>
    <t>Adri</t>
  </si>
  <si>
    <t>POD received from cell 0724326506 M</t>
  </si>
  <si>
    <t>Er Sutures-2</t>
  </si>
  <si>
    <t>ref GAB2027819</t>
  </si>
  <si>
    <t>Box Sutures-12</t>
  </si>
  <si>
    <t xml:space="preserve">WILGERS HOSPITAL                   </t>
  </si>
  <si>
    <t>Solomon</t>
  </si>
  <si>
    <t>POD received from cell 0711059733 M</t>
  </si>
  <si>
    <t>THABANG</t>
  </si>
  <si>
    <t>ppm</t>
  </si>
  <si>
    <t>FLYER</t>
  </si>
  <si>
    <t>VANDE</t>
  </si>
  <si>
    <t>VANDERBIJLPARK</t>
  </si>
  <si>
    <t xml:space="preserve">EMFULENI MEDI CLINIC PHARMACY      </t>
  </si>
  <si>
    <t>BESSIE</t>
  </si>
  <si>
    <t xml:space="preserve">Life Flora Hospit Office           </t>
  </si>
  <si>
    <t>gedion</t>
  </si>
  <si>
    <t>POTGI</t>
  </si>
  <si>
    <t>POTGIETERSRUS</t>
  </si>
  <si>
    <t xml:space="preserve">Mokopane Hospit                    </t>
  </si>
  <si>
    <t>mangena</t>
  </si>
  <si>
    <t>liv</t>
  </si>
  <si>
    <t>POD received from cell 0815633627 M</t>
  </si>
  <si>
    <t>0601</t>
  </si>
  <si>
    <t>Box Sutrures-10</t>
  </si>
  <si>
    <t>BOX SUTURE-1</t>
  </si>
  <si>
    <t>DR MARK STEINMANN</t>
  </si>
  <si>
    <t>tarren</t>
  </si>
  <si>
    <t xml:space="preserve">Silica Gel                         </t>
  </si>
  <si>
    <t>Courtney</t>
  </si>
  <si>
    <t>NEIL  BUSSY</t>
  </si>
  <si>
    <t>POD received from cell 0817078010 M</t>
  </si>
  <si>
    <t>Joseph</t>
  </si>
  <si>
    <t>philani</t>
  </si>
  <si>
    <t>POD received from cell 0799807542 M</t>
  </si>
  <si>
    <t>GERHARD</t>
  </si>
  <si>
    <t>THULI</t>
  </si>
  <si>
    <t>RICHA</t>
  </si>
  <si>
    <t>RICHARDS BAY</t>
  </si>
  <si>
    <t xml:space="preserve">Richards Bay Medical Institute     </t>
  </si>
  <si>
    <t>CHARLENE</t>
  </si>
  <si>
    <t>nipho</t>
  </si>
  <si>
    <t>POD received from cell 0795550703 M</t>
  </si>
  <si>
    <t>OUDTS</t>
  </si>
  <si>
    <t>OUDTSHOORN</t>
  </si>
  <si>
    <t xml:space="preserve">EMMANUEL VERPLEEGSKOOL -PIA        </t>
  </si>
  <si>
    <t>ANEESA</t>
  </si>
  <si>
    <t>Janine</t>
  </si>
  <si>
    <t>POD received from cell 0834620356 M</t>
  </si>
  <si>
    <t>Sr Julie</t>
  </si>
  <si>
    <t>Rowena</t>
  </si>
  <si>
    <t>Delrisa</t>
  </si>
  <si>
    <t>BOX SUTURES-12</t>
  </si>
  <si>
    <t>rama</t>
  </si>
  <si>
    <t>GEORG</t>
  </si>
  <si>
    <t>GEORGE</t>
  </si>
  <si>
    <t xml:space="preserve">MEDICLINIC GENEVA                  </t>
  </si>
  <si>
    <t>LIEZEL</t>
  </si>
  <si>
    <t>Collin</t>
  </si>
  <si>
    <t>POD received from cell 0849215600 M</t>
  </si>
  <si>
    <t xml:space="preserve">STRAND ANIMAL HOSPITAL             </t>
  </si>
  <si>
    <t>SR CARLA</t>
  </si>
  <si>
    <t>sene</t>
  </si>
  <si>
    <t>POD received from cell 0673277989 M</t>
  </si>
  <si>
    <t>Claudia</t>
  </si>
  <si>
    <t>LYER SUTURES-1</t>
  </si>
  <si>
    <t xml:space="preserve">Tshepo Themba Clinix - Dispens     </t>
  </si>
  <si>
    <t>Tshepo Themba Clinix - Dispens</t>
  </si>
  <si>
    <t>POD received from cell 0614098909 M</t>
  </si>
  <si>
    <t xml:space="preserve">Netcare Waterfall City Phy         </t>
  </si>
  <si>
    <t>nobuhle</t>
  </si>
  <si>
    <t xml:space="preserve">Questmed Clinix Lesedi             </t>
  </si>
  <si>
    <t>LEE</t>
  </si>
  <si>
    <t>Ayanda</t>
  </si>
  <si>
    <t>Incorrect route allocation</t>
  </si>
  <si>
    <t>POD received from cell 0612142991 M</t>
  </si>
  <si>
    <t>juanita</t>
  </si>
  <si>
    <t>POD received from cell 0603550745 M</t>
  </si>
  <si>
    <t>BOX SUTURES-45</t>
  </si>
  <si>
    <t xml:space="preserve">SKYNET BLOEMFONTEIN                </t>
  </si>
  <si>
    <t>DOCUMENT</t>
  </si>
  <si>
    <t xml:space="preserve">PARKMORE VETERINARY CLINIC         </t>
  </si>
  <si>
    <t>THANDI</t>
  </si>
  <si>
    <t>bonolo mphata</t>
  </si>
  <si>
    <t>080067179352</t>
  </si>
  <si>
    <t xml:space="preserve">thato                         </t>
  </si>
  <si>
    <t xml:space="preserve">POD received from cell 0846509915 M     </t>
  </si>
  <si>
    <t>MIDRA</t>
  </si>
  <si>
    <t>MIDRAND</t>
  </si>
  <si>
    <t xml:space="preserve">Northrand Animal Clinic            </t>
  </si>
  <si>
    <t>SR KATE</t>
  </si>
  <si>
    <t>LENA</t>
  </si>
  <si>
    <t>KHAYA</t>
  </si>
  <si>
    <t>Ria vorster</t>
  </si>
  <si>
    <t>Simone</t>
  </si>
  <si>
    <t>Alfred</t>
  </si>
  <si>
    <t>THULANI</t>
  </si>
  <si>
    <t>UMTAT</t>
  </si>
  <si>
    <t>UMTATA</t>
  </si>
  <si>
    <t xml:space="preserve">HEROLIM PRIVATE HOSPITAL           </t>
  </si>
  <si>
    <t>SIVUYILE</t>
  </si>
  <si>
    <t>SPRI3</t>
  </si>
  <si>
    <t>SPRINGS</t>
  </si>
  <si>
    <t xml:space="preserve">Netcare N17 Pharma                 </t>
  </si>
  <si>
    <t>THUHONE</t>
  </si>
  <si>
    <t>POD received from cell 0682194514 M</t>
  </si>
  <si>
    <t xml:space="preserve">Netcare Blaauwberg Hospit          </t>
  </si>
  <si>
    <t xml:space="preserve">Quinton                       </t>
  </si>
  <si>
    <t>Abby</t>
  </si>
  <si>
    <t>FLYER SUTURES-65</t>
  </si>
  <si>
    <t xml:space="preserve">HARRY GWALA REGIONAL HOSPITAL      </t>
  </si>
  <si>
    <t>mhlanga</t>
  </si>
  <si>
    <t>BOX LINERS-50 BOX LINERS-50</t>
  </si>
  <si>
    <t xml:space="preserve">rixile                        </t>
  </si>
  <si>
    <t xml:space="preserve">POD received from cell 0790678352 M     </t>
  </si>
  <si>
    <t xml:space="preserve">GTR4ABLER  MEDICAL                 </t>
  </si>
  <si>
    <t>JULLAN  ISAACS</t>
  </si>
  <si>
    <t>VRED1</t>
  </si>
  <si>
    <t>VREDE</t>
  </si>
  <si>
    <t xml:space="preserve">Reitz Hospit                       </t>
  </si>
  <si>
    <t>SANMARI</t>
  </si>
  <si>
    <t>Bessie</t>
  </si>
  <si>
    <t xml:space="preserve">Netcare Parklands Pharmacy         </t>
  </si>
  <si>
    <t xml:space="preserve">DR RM VAN SCHALKWYK                </t>
  </si>
  <si>
    <t>R RM SCHALKWYK</t>
  </si>
  <si>
    <t>Nonku</t>
  </si>
  <si>
    <t>POD received from cell 0782274968 M</t>
  </si>
  <si>
    <t xml:space="preserve">Netcare St Anne s Hospital         </t>
  </si>
  <si>
    <t xml:space="preserve">Vernon                        </t>
  </si>
  <si>
    <t xml:space="preserve">POD received from cell 0782274968 M     </t>
  </si>
  <si>
    <t>solomon</t>
  </si>
  <si>
    <t>BIX SUTURES-8</t>
  </si>
  <si>
    <t>NINETTE</t>
  </si>
  <si>
    <t>Velaphi</t>
  </si>
  <si>
    <t>ALBE2</t>
  </si>
  <si>
    <t>ALBERTON</t>
  </si>
  <si>
    <t xml:space="preserve">NEWMARKET DAY HOSPITAL             </t>
  </si>
  <si>
    <t xml:space="preserve">Delano                        </t>
  </si>
  <si>
    <t xml:space="preserve">POD received from cell 0636608674 M     </t>
  </si>
  <si>
    <t xml:space="preserve">GARSFONTEIN VETERINARY CLINIC      </t>
  </si>
  <si>
    <t>chantel</t>
  </si>
  <si>
    <t xml:space="preserve">Morningside Medi Clinic Pharma     </t>
  </si>
  <si>
    <t>CONRAD</t>
  </si>
  <si>
    <t>mathilda</t>
  </si>
  <si>
    <t>POD received from cell 0621762616 M</t>
  </si>
  <si>
    <t>Prudence</t>
  </si>
  <si>
    <t xml:space="preserve">Phekolong Hospit                   </t>
  </si>
  <si>
    <t>A SCHREIDER</t>
  </si>
  <si>
    <t>c botha</t>
  </si>
  <si>
    <t>BOX SUTURES-20</t>
  </si>
  <si>
    <t>Johannah</t>
  </si>
  <si>
    <t xml:space="preserve">judel                         </t>
  </si>
  <si>
    <t>mdm</t>
  </si>
  <si>
    <t xml:space="preserve">POD received from cell 0601319867 M     </t>
  </si>
  <si>
    <t>Jesmine</t>
  </si>
  <si>
    <t xml:space="preserve">DR VIVESH RUGHUBAR -PIA            </t>
  </si>
  <si>
    <t>levene</t>
  </si>
  <si>
    <t>D sherry</t>
  </si>
  <si>
    <t>BOX SUTURES-1</t>
  </si>
  <si>
    <t>Chem-Med</t>
  </si>
  <si>
    <t>bruce</t>
  </si>
  <si>
    <t>POD received from cell 0748817308 M</t>
  </si>
  <si>
    <t>BOX SUTURES-95</t>
  </si>
  <si>
    <t xml:space="preserve">Zuid Afrikaanse Hospit             </t>
  </si>
  <si>
    <t>Christopher  Pharmacy</t>
  </si>
  <si>
    <t xml:space="preserve">Apex Surgi Centre                  </t>
  </si>
  <si>
    <t>JANE</t>
  </si>
  <si>
    <t xml:space="preserve">East Boom CHC                      </t>
  </si>
  <si>
    <t>S.DLAMINI</t>
  </si>
  <si>
    <t>T Mkhize</t>
  </si>
  <si>
    <t xml:space="preserve">Mediclinic Sandton Pharmacy        </t>
  </si>
  <si>
    <t>COMFORT PHY</t>
  </si>
  <si>
    <t>presh</t>
  </si>
  <si>
    <t>PHUMZA</t>
  </si>
  <si>
    <t>vincent</t>
  </si>
  <si>
    <t>KIMBE</t>
  </si>
  <si>
    <t>KIMBERLEY</t>
  </si>
  <si>
    <t xml:space="preserve">Mediclinic Gariep                  </t>
  </si>
  <si>
    <t>BIA</t>
  </si>
  <si>
    <t>ISMAIL</t>
  </si>
  <si>
    <t xml:space="preserve">Disa Med Pharmacy Hermanus         </t>
  </si>
  <si>
    <t>NITA</t>
  </si>
  <si>
    <t>johan</t>
  </si>
  <si>
    <t>STILF</t>
  </si>
  <si>
    <t>STILFONTEIN</t>
  </si>
  <si>
    <t xml:space="preserve">Klerksdorp Dierekliniek            </t>
  </si>
  <si>
    <t>Christelle</t>
  </si>
  <si>
    <t>POD received from cell 0684312636 M</t>
  </si>
  <si>
    <t>BAFANA</t>
  </si>
  <si>
    <t>LEANDRA</t>
  </si>
  <si>
    <t>LINDa</t>
  </si>
  <si>
    <t>LEONARD</t>
  </si>
  <si>
    <t>ora</t>
  </si>
  <si>
    <t>Box Sutures-10</t>
  </si>
  <si>
    <t xml:space="preserve">Mediclinic Victoria                </t>
  </si>
  <si>
    <t>MONIQUE DIEDERICKS</t>
  </si>
  <si>
    <t>Sbo Nkosi</t>
  </si>
  <si>
    <t xml:space="preserve">Patricia                      </t>
  </si>
  <si>
    <t xml:space="preserve">POD received from cell 0649538281 M     </t>
  </si>
  <si>
    <t>0169</t>
  </si>
  <si>
    <t>Collen</t>
  </si>
  <si>
    <t xml:space="preserve">kgothatso                     </t>
  </si>
  <si>
    <t xml:space="preserve">POD received from cell 0762590272 M     </t>
  </si>
  <si>
    <t xml:space="preserve">Flyer Me                      </t>
  </si>
  <si>
    <t>lizel</t>
  </si>
  <si>
    <t xml:space="preserve">Medicare Hospital Equipment        </t>
  </si>
  <si>
    <t>POD received from cell 0791069864 M</t>
  </si>
  <si>
    <t xml:space="preserve">BUSAMED BRAM FISHER INT AIRPOR     </t>
  </si>
  <si>
    <t>COBIE</t>
  </si>
  <si>
    <t>stephen</t>
  </si>
  <si>
    <t>HOEDS</t>
  </si>
  <si>
    <t>HOEDSPRUIT</t>
  </si>
  <si>
    <t xml:space="preserve">HOEDSPRUIT PRIVATE HOSPITAL        </t>
  </si>
  <si>
    <t>vizy</t>
  </si>
  <si>
    <t>Tyrique</t>
  </si>
  <si>
    <t>POD received from cell 0728834171 M</t>
  </si>
  <si>
    <t>Rich</t>
  </si>
  <si>
    <t>THANDEKA</t>
  </si>
  <si>
    <t>POD received from cell 0784953533 M</t>
  </si>
  <si>
    <t>jma</t>
  </si>
  <si>
    <t>Asanda</t>
  </si>
  <si>
    <t>POD received from cell 0845939724 M</t>
  </si>
  <si>
    <t>DELNISA</t>
  </si>
  <si>
    <t>JLC</t>
  </si>
  <si>
    <t>Shiznai</t>
  </si>
  <si>
    <t>SR KATE SMITH</t>
  </si>
  <si>
    <t>ANDRED  ABRAHAMS</t>
  </si>
  <si>
    <t xml:space="preserve">gablier medical                    </t>
  </si>
  <si>
    <t>suite 7 manhaltan office park</t>
  </si>
  <si>
    <t xml:space="preserve">monique                       </t>
  </si>
  <si>
    <t xml:space="preserve">POD received from cell 0827737372 M     </t>
  </si>
  <si>
    <t>0046</t>
  </si>
  <si>
    <t>EMPAN</t>
  </si>
  <si>
    <t>EMPANGENI</t>
  </si>
  <si>
    <t xml:space="preserve">Cerdak                             </t>
  </si>
  <si>
    <t>Jeanie</t>
  </si>
  <si>
    <t>Barika</t>
  </si>
  <si>
    <t>POD received from cell 0761615396 M</t>
  </si>
  <si>
    <t xml:space="preserve">R K KHAN HOSPITAL                  </t>
  </si>
  <si>
    <t>LOVEN</t>
  </si>
  <si>
    <t>sihnulhle</t>
  </si>
  <si>
    <t>POD received from cell 0607577468 M</t>
  </si>
  <si>
    <t>ALEX</t>
  </si>
  <si>
    <t>e weasel</t>
  </si>
  <si>
    <t>POD received from cell 0820533117 M</t>
  </si>
  <si>
    <t xml:space="preserve">PHARMACY DEPOT BLOEMFONTEIN        </t>
  </si>
  <si>
    <t>teboho</t>
  </si>
  <si>
    <t xml:space="preserve">Netcare Montana Hospit             </t>
  </si>
  <si>
    <t>Main Pharmacy</t>
  </si>
  <si>
    <t>andries</t>
  </si>
  <si>
    <t>PPM</t>
  </si>
  <si>
    <t>POD received from cell 0823615061 M</t>
  </si>
  <si>
    <t>Pharmacy Manager</t>
  </si>
  <si>
    <t>emelda</t>
  </si>
  <si>
    <t>POD received from cell 0837691492 M</t>
  </si>
  <si>
    <t xml:space="preserve">Bryanston Avian Exotic             </t>
  </si>
  <si>
    <t>Daelene</t>
  </si>
  <si>
    <t xml:space="preserve">wadine                        </t>
  </si>
  <si>
    <t xml:space="preserve">POD received from cell 0737168659 M     </t>
  </si>
  <si>
    <t>Flyer Sutures-6</t>
  </si>
  <si>
    <t>Juanel</t>
  </si>
  <si>
    <t xml:space="preserve">tyreeq                        </t>
  </si>
  <si>
    <t xml:space="preserve">DR A G KEPLER                      </t>
  </si>
  <si>
    <t>Lee Ann</t>
  </si>
  <si>
    <t xml:space="preserve">FATIMA                        </t>
  </si>
  <si>
    <t>Wilma Jana</t>
  </si>
  <si>
    <t>RICHARD</t>
  </si>
  <si>
    <t>Box Sutures-18</t>
  </si>
  <si>
    <t>Louisa</t>
  </si>
  <si>
    <t>Med Equipment</t>
  </si>
  <si>
    <t>bsn</t>
  </si>
  <si>
    <t xml:space="preserve">LIFE FAERIE GLEN PHY               </t>
  </si>
  <si>
    <t>CHARLE SNYMAN</t>
  </si>
  <si>
    <t>elizabeth</t>
  </si>
  <si>
    <t xml:space="preserve">SKYNET  DURBAN                     </t>
  </si>
  <si>
    <t>PERCY</t>
  </si>
  <si>
    <t>K BERMON</t>
  </si>
  <si>
    <t>GERMI</t>
  </si>
  <si>
    <t>GERMISTON</t>
  </si>
  <si>
    <t xml:space="preserve">Carlin Medical                     </t>
  </si>
  <si>
    <t>Bertha Samurino</t>
  </si>
  <si>
    <t>Boxes</t>
  </si>
  <si>
    <t>lena</t>
  </si>
  <si>
    <t xml:space="preserve">Netcare Pharmacies (Pty) Ltd       </t>
  </si>
  <si>
    <t>Netcare Parklands Ph</t>
  </si>
  <si>
    <t>Netcare Parklands Pharmacy</t>
  </si>
  <si>
    <t>naasif</t>
  </si>
  <si>
    <t xml:space="preserve">AUBERT PIPE   PROFILE SOLUTION     </t>
  </si>
  <si>
    <t>EUGENE DE JAGER</t>
  </si>
  <si>
    <t>Bundle</t>
  </si>
  <si>
    <t>zandiswa</t>
  </si>
  <si>
    <t>PORT5</t>
  </si>
  <si>
    <t>PORT ST.JOHNS</t>
  </si>
  <si>
    <t xml:space="preserve">ST BARNABAS HOSPITAL               </t>
  </si>
  <si>
    <t xml:space="preserve">Xobongo                       </t>
  </si>
  <si>
    <t xml:space="preserve">CANZIBE DH                         </t>
  </si>
  <si>
    <t>Themba</t>
  </si>
  <si>
    <t xml:space="preserve">Taylor Bequest DH                  </t>
  </si>
  <si>
    <t xml:space="preserve">RH MATJHABENG Hospit               </t>
  </si>
  <si>
    <t>POD received from cell 0723646416 M</t>
  </si>
  <si>
    <t>ENGCO</t>
  </si>
  <si>
    <t>ENGCOBO</t>
  </si>
  <si>
    <t xml:space="preserve">ALL SAINTS HOSPITAL                </t>
  </si>
  <si>
    <t>ludwe</t>
  </si>
  <si>
    <t xml:space="preserve">MADWALENI HOSPITAL                 </t>
  </si>
  <si>
    <t>Babalwa</t>
  </si>
  <si>
    <t xml:space="preserve">SKYNET DURBAN  DEPOT               </t>
  </si>
  <si>
    <t>LEVERNE</t>
  </si>
  <si>
    <t xml:space="preserve">REPAIR                        </t>
  </si>
  <si>
    <t xml:space="preserve">Job Shimankana Tabane              </t>
  </si>
  <si>
    <t>PRUDENCE</t>
  </si>
  <si>
    <t>Paulina</t>
  </si>
  <si>
    <t>tiisetso</t>
  </si>
  <si>
    <t xml:space="preserve">Richardsbay Medical Institute      </t>
  </si>
  <si>
    <t>TRICH</t>
  </si>
  <si>
    <t>TRICHARDT</t>
  </si>
  <si>
    <t xml:space="preserve">Mediclinic Highveld                </t>
  </si>
  <si>
    <t>MARIETJIE</t>
  </si>
  <si>
    <t>M  Gaws</t>
  </si>
  <si>
    <t>POD received from cell 0822301910 M</t>
  </si>
  <si>
    <t>Jeffery</t>
  </si>
  <si>
    <t>POD received from cell 0635976945 M</t>
  </si>
  <si>
    <t>FLYER SUTURE-2</t>
  </si>
  <si>
    <t>modisene</t>
  </si>
  <si>
    <t xml:space="preserve">CURE DAY HOSPITALS FORESHORE       </t>
  </si>
  <si>
    <t>beukes</t>
  </si>
  <si>
    <t>POD received from cell 0828579506 M</t>
  </si>
  <si>
    <t>SUJAYA</t>
  </si>
  <si>
    <t>nicoleen</t>
  </si>
  <si>
    <t>FLYER  SUTURES -2</t>
  </si>
  <si>
    <t xml:space="preserve"> D sherry                     </t>
  </si>
  <si>
    <t xml:space="preserve">POD received from cell 0739570238 M     </t>
  </si>
  <si>
    <t>FYER SUTURES-2</t>
  </si>
  <si>
    <t xml:space="preserve">ASPIRATA  PORTION 5  GAZELLE C     </t>
  </si>
  <si>
    <t>J.PILLAY</t>
  </si>
  <si>
    <t>violet</t>
  </si>
  <si>
    <t>POD received from cell 0833616148 M</t>
  </si>
  <si>
    <t xml:space="preserve">OAKFIELDS VETERINARY HOSPITAL      </t>
  </si>
  <si>
    <t>Lindsay</t>
  </si>
  <si>
    <t>POD received from cell 0682118246 M</t>
  </si>
  <si>
    <t xml:space="preserve">DR C DOMAN -PIA                    </t>
  </si>
  <si>
    <t>grizelaa</t>
  </si>
  <si>
    <t>POD received from cell 0728258300 M</t>
  </si>
  <si>
    <t>0133</t>
  </si>
  <si>
    <t xml:space="preserve">DR CLAUDIA MOLOABI -PIA            </t>
  </si>
  <si>
    <t>Taelo</t>
  </si>
  <si>
    <t>POD received from cell 0751320604 M</t>
  </si>
  <si>
    <t xml:space="preserve">Advanced Durbanville               </t>
  </si>
  <si>
    <t>ANKIA</t>
  </si>
  <si>
    <t>David</t>
  </si>
  <si>
    <t>kasavan</t>
  </si>
  <si>
    <t xml:space="preserve">Life Groenkloof Hospit             </t>
  </si>
  <si>
    <t>RAKHEE</t>
  </si>
  <si>
    <t>Phindile</t>
  </si>
  <si>
    <t xml:space="preserve">Netcare Kroon Pharma               </t>
  </si>
  <si>
    <t>REFILOE</t>
  </si>
  <si>
    <t xml:space="preserve">Life St Georges Hospit             </t>
  </si>
  <si>
    <t>LOLETTA</t>
  </si>
  <si>
    <t>Dayne</t>
  </si>
  <si>
    <t>POTCH</t>
  </si>
  <si>
    <t>POTCHEFSTROOM</t>
  </si>
  <si>
    <t xml:space="preserve">Steve Tshwete clinic               </t>
  </si>
  <si>
    <t>Miss SR KHUMALO</t>
  </si>
  <si>
    <t>Khumalo</t>
  </si>
  <si>
    <t>HND / CSH / NDC</t>
  </si>
  <si>
    <t>POD received from cell 0737934317 M</t>
  </si>
  <si>
    <t>Box Med Equipmen Box Med Equipmen Box Med Equipme</t>
  </si>
  <si>
    <t xml:space="preserve">City Hospit                        </t>
  </si>
  <si>
    <t>SR VANESSA</t>
  </si>
  <si>
    <t>JAMES</t>
  </si>
  <si>
    <t>FLYER SUTURES-3 BOX MED EQUIPM</t>
  </si>
  <si>
    <t xml:space="preserve">IMVULA MEDICAL                     </t>
  </si>
  <si>
    <t>chaga</t>
  </si>
  <si>
    <t>POD received from cell 0767548818 M</t>
  </si>
  <si>
    <t>BOX SUTU</t>
  </si>
  <si>
    <t xml:space="preserve">4 SA MEDICAL PUPPLIES              </t>
  </si>
  <si>
    <t>ON2</t>
  </si>
  <si>
    <t>Kentse</t>
  </si>
  <si>
    <t>vishalin</t>
  </si>
  <si>
    <t>POD received from cell 0766412100 M</t>
  </si>
  <si>
    <t>Box Liners Box Liners Box Liners</t>
  </si>
  <si>
    <t>P KHUMALO</t>
  </si>
  <si>
    <t xml:space="preserve">WC Health Helderberg Hospit        </t>
  </si>
  <si>
    <t>MARINDA</t>
  </si>
  <si>
    <t>v cupido</t>
  </si>
  <si>
    <t>MARY SUE</t>
  </si>
  <si>
    <t>SIHLE</t>
  </si>
  <si>
    <t>GREYT</t>
  </si>
  <si>
    <t>GREYTOWN</t>
  </si>
  <si>
    <t xml:space="preserve">Appelsbosch Hospital               </t>
  </si>
  <si>
    <t>THENBI</t>
  </si>
  <si>
    <t>phumlani</t>
  </si>
  <si>
    <t>NDC / FUE / DOC</t>
  </si>
  <si>
    <t>POD received from cell 0712723510 M</t>
  </si>
  <si>
    <t xml:space="preserve">Medi Clinic Stellenbosch Pharm     </t>
  </si>
  <si>
    <t xml:space="preserve">raui                          </t>
  </si>
  <si>
    <t xml:space="preserve">Mediclinic Pietermaritzburg Ph     </t>
  </si>
  <si>
    <t>Theare</t>
  </si>
  <si>
    <t>Kash</t>
  </si>
  <si>
    <t xml:space="preserve">Life Carstenhof Hoispital          </t>
  </si>
  <si>
    <t>Roschelle</t>
  </si>
  <si>
    <t>sindi</t>
  </si>
  <si>
    <t>POD received from cell 0848256515 M</t>
  </si>
  <si>
    <t>Chido</t>
  </si>
  <si>
    <t xml:space="preserve">thabo                         </t>
  </si>
  <si>
    <t xml:space="preserve">POD received from cell 0734288184 M     </t>
  </si>
  <si>
    <t>Box Sutures-7</t>
  </si>
  <si>
    <t xml:space="preserve">LIFE WILGEHEUWEL PHARMACY          </t>
  </si>
  <si>
    <t>Marion Putteill</t>
  </si>
  <si>
    <t>Elizabeth</t>
  </si>
  <si>
    <t xml:space="preserve">Netcare Femina Pharma              </t>
  </si>
  <si>
    <t>Main Theatre</t>
  </si>
  <si>
    <t>Mokhele</t>
  </si>
  <si>
    <t>Flyer Sutures-5</t>
  </si>
  <si>
    <t>Lizaan</t>
  </si>
  <si>
    <t>JOSHPHE</t>
  </si>
  <si>
    <t xml:space="preserve">Untunjambili Hospital              </t>
  </si>
  <si>
    <t>pamhlawe</t>
  </si>
  <si>
    <t>Linda</t>
  </si>
  <si>
    <t>Leonard</t>
  </si>
  <si>
    <t>POD received from cell 0676885534 M</t>
  </si>
  <si>
    <t xml:space="preserve">Tshepong Regional Hospit           </t>
  </si>
  <si>
    <t>Tshidi</t>
  </si>
  <si>
    <t>POD received from cell 0764112218 M</t>
  </si>
  <si>
    <t xml:space="preserve">Queen Nandi Regional Hospit        </t>
  </si>
  <si>
    <t>Ntuthuko</t>
  </si>
  <si>
    <t>Buncy</t>
  </si>
  <si>
    <t>POD received from cell 0762228837 M</t>
  </si>
  <si>
    <t xml:space="preserve">Netcare Greenacres Hospit          </t>
  </si>
  <si>
    <t>Sr Jacobs</t>
  </si>
  <si>
    <t>belinda</t>
  </si>
  <si>
    <t>POD received from cell 0659756866 M</t>
  </si>
  <si>
    <t>PATRICIA  NTONGA</t>
  </si>
  <si>
    <t>MICHELLE FICK</t>
  </si>
  <si>
    <t>PONGO</t>
  </si>
  <si>
    <t>PONGOLA</t>
  </si>
  <si>
    <t xml:space="preserve">Nkonjeni District Hospit           </t>
  </si>
  <si>
    <t>MANTOMBI</t>
  </si>
  <si>
    <t>HND / FUE / doc</t>
  </si>
  <si>
    <t>POD received from cell 0728377568 M</t>
  </si>
  <si>
    <t>FLYER SUTURES-4 BOX SUTURES-19</t>
  </si>
  <si>
    <t>ALEX   FRANSWAL</t>
  </si>
  <si>
    <t>Gansen</t>
  </si>
  <si>
    <t>T N Gorvender</t>
  </si>
  <si>
    <t xml:space="preserve">Mafikeng Provincial Hospit         </t>
  </si>
  <si>
    <t>NEO</t>
  </si>
  <si>
    <t xml:space="preserve">RAHIMA MOOSA MOTHER   CHILD HO     </t>
  </si>
  <si>
    <t>jeany</t>
  </si>
  <si>
    <t>POD received from cell 0733113285 M</t>
  </si>
  <si>
    <t>Chido Chauke</t>
  </si>
  <si>
    <t>keisha</t>
  </si>
  <si>
    <t>POD received from cell 0734288184 M</t>
  </si>
  <si>
    <t>Damien</t>
  </si>
  <si>
    <t>j daniels</t>
  </si>
  <si>
    <t xml:space="preserve">Blue Hills Veterinary Hospit       </t>
  </si>
  <si>
    <t>KRISTIN</t>
  </si>
  <si>
    <t>callan</t>
  </si>
  <si>
    <t xml:space="preserve">HATFIELD DENTAL STUDIO             </t>
  </si>
  <si>
    <t xml:space="preserve">Michael  Receptionist         </t>
  </si>
  <si>
    <t xml:space="preserve">POD received from cell 0727824353 M     </t>
  </si>
  <si>
    <t xml:space="preserve">Life West Coast Private Hospit     </t>
  </si>
  <si>
    <t>ELNETTE DU TOIT</t>
  </si>
  <si>
    <t>Life West Coast Private Hospit</t>
  </si>
  <si>
    <t>POD received from cell 0636857162 M</t>
  </si>
  <si>
    <t>HENDRIK</t>
  </si>
  <si>
    <t>XAL</t>
  </si>
  <si>
    <t>FLYER SUTURES-76</t>
  </si>
  <si>
    <t>MIKHAIL MICHAELS</t>
  </si>
  <si>
    <t>Susan</t>
  </si>
  <si>
    <t>GIYAN</t>
  </si>
  <si>
    <t>GIYANI</t>
  </si>
  <si>
    <t xml:space="preserve">Tshilidzini Hospital               </t>
  </si>
  <si>
    <t>pfunzo</t>
  </si>
  <si>
    <t>POD received from cell 0720785079 M</t>
  </si>
  <si>
    <t>0945</t>
  </si>
  <si>
    <t>WITSI</t>
  </si>
  <si>
    <t>WITZIESHOEK</t>
  </si>
  <si>
    <t xml:space="preserve">MANAPO Hospit                      </t>
  </si>
  <si>
    <t>Mnr Marius Delport</t>
  </si>
  <si>
    <t>MALESEDI</t>
  </si>
  <si>
    <t>POD received from cell 0834062260 M</t>
  </si>
  <si>
    <t xml:space="preserve">Pelonomi Hospit                    </t>
  </si>
  <si>
    <t>Mnr J Combrink</t>
  </si>
  <si>
    <t>maarman</t>
  </si>
  <si>
    <t>POD received from cell 0833639682 M</t>
  </si>
  <si>
    <t xml:space="preserve">DURBANVILLE VET                    </t>
  </si>
  <si>
    <t>SR JANET</t>
  </si>
  <si>
    <t>Belinda</t>
  </si>
  <si>
    <t>TEBOHO</t>
  </si>
  <si>
    <t xml:space="preserve">UMFAZI UNITED PTY LTD              </t>
  </si>
  <si>
    <t xml:space="preserve">Lorenzo                       </t>
  </si>
  <si>
    <t xml:space="preserve">POD received from cell 0720457394 M     </t>
  </si>
  <si>
    <t>Nishan</t>
  </si>
  <si>
    <t>zola</t>
  </si>
  <si>
    <t>POD received from cell 0659262838 M</t>
  </si>
  <si>
    <t>HEILB</t>
  </si>
  <si>
    <t>HEILBRON</t>
  </si>
  <si>
    <t xml:space="preserve">Tokollo Hospit                     </t>
  </si>
  <si>
    <t>LUCAS</t>
  </si>
  <si>
    <t>POD received from cell 0791680092 M</t>
  </si>
  <si>
    <t xml:space="preserve">LAKE SMITH   PARTNERS              </t>
  </si>
  <si>
    <t>TASHNI</t>
  </si>
  <si>
    <t>carol</t>
  </si>
  <si>
    <t>B Miller</t>
  </si>
  <si>
    <t>SONIQUE VAN DEN BERG</t>
  </si>
  <si>
    <t>Ingrid</t>
  </si>
  <si>
    <t xml:space="preserve">Mars Healthcare (Pty) Ltd          </t>
  </si>
  <si>
    <t>MALEBANA</t>
  </si>
  <si>
    <t>malebana</t>
  </si>
  <si>
    <t>POD received from cell 0719344312 M</t>
  </si>
  <si>
    <t>FLYER SUTURES</t>
  </si>
  <si>
    <t xml:space="preserve">Cosmos Hospital Pharmacy           </t>
  </si>
  <si>
    <t xml:space="preserve">ROSEPrk Hospit                     </t>
  </si>
  <si>
    <t>LORINDA CLOETE</t>
  </si>
  <si>
    <t>tshidi</t>
  </si>
  <si>
    <t xml:space="preserve">Disa Med Durbanville Pharmacy      </t>
  </si>
  <si>
    <t xml:space="preserve">Carmen                        </t>
  </si>
  <si>
    <t xml:space="preserve">POD received from cell 0738726261 M     </t>
  </si>
  <si>
    <t xml:space="preserve">laus                          </t>
  </si>
  <si>
    <t>Fericka</t>
  </si>
  <si>
    <t>victoria</t>
  </si>
  <si>
    <t>Flyer Bsutures-2</t>
  </si>
  <si>
    <t xml:space="preserve">ST DOMINICS DISPENSARY             </t>
  </si>
  <si>
    <t>Brett Kriel</t>
  </si>
  <si>
    <t>marvin</t>
  </si>
  <si>
    <t xml:space="preserve">Louis Pasteur Hospital             </t>
  </si>
  <si>
    <t>Madeleine</t>
  </si>
  <si>
    <t>POD received from cell 0730413334 M</t>
  </si>
  <si>
    <t xml:space="preserve">Dr Dagmar Whitaker                 </t>
  </si>
  <si>
    <t>Dagmar Whitakerker</t>
  </si>
  <si>
    <t>POD received from cell 0627266420 M</t>
  </si>
  <si>
    <t>ROBER</t>
  </si>
  <si>
    <t>ROBERTSON</t>
  </si>
  <si>
    <t xml:space="preserve">CORNERSTONE VET SERVICES           </t>
  </si>
  <si>
    <t>Leandi</t>
  </si>
  <si>
    <t>POD received from cell 0608104719 M</t>
  </si>
  <si>
    <t>CERES</t>
  </si>
  <si>
    <t xml:space="preserve">Ceres Vet Hospit                   </t>
  </si>
  <si>
    <t>Dr Wium</t>
  </si>
  <si>
    <t>diedi</t>
  </si>
  <si>
    <t xml:space="preserve">Dr S.D. Otto                       </t>
  </si>
  <si>
    <t>Cathy</t>
  </si>
  <si>
    <t xml:space="preserve">Helene                        </t>
  </si>
  <si>
    <t>Leon</t>
  </si>
  <si>
    <t xml:space="preserve">HOOGL  MEDICLINIC PHARM            </t>
  </si>
  <si>
    <t>lerato</t>
  </si>
  <si>
    <t>POD received from cell 0713010915 M</t>
  </si>
  <si>
    <t>RANDF</t>
  </si>
  <si>
    <t>RANDFONTEIN</t>
  </si>
  <si>
    <t xml:space="preserve">Life Robinson Private Hospital     </t>
  </si>
  <si>
    <t>Olivia Motsi</t>
  </si>
  <si>
    <t>letlhogonolo</t>
  </si>
  <si>
    <t>POD received from cell 0679017498 M</t>
  </si>
  <si>
    <t xml:space="preserve">INTERFERENCE TESTING ND COSULT     </t>
  </si>
  <si>
    <t>CALLIE</t>
  </si>
  <si>
    <t>wilma</t>
  </si>
  <si>
    <t>POD received from cell 0844936893 M</t>
  </si>
  <si>
    <t>mangena m s</t>
  </si>
  <si>
    <t>LOUIS</t>
  </si>
  <si>
    <t>LOUIS TRICHARDT</t>
  </si>
  <si>
    <t xml:space="preserve">CRESTCARE ZOUTSPAN                 </t>
  </si>
  <si>
    <t>PRINCE</t>
  </si>
  <si>
    <t>POD received from cell 0698215033 M</t>
  </si>
  <si>
    <t>0920</t>
  </si>
  <si>
    <t>DENNI</t>
  </si>
  <si>
    <t>DENNILTON</t>
  </si>
  <si>
    <t xml:space="preserve">Philadelphia Hospit                </t>
  </si>
  <si>
    <t xml:space="preserve">Ditebogo                      </t>
  </si>
  <si>
    <t xml:space="preserve">Life Cosmos Pharmacy               </t>
  </si>
  <si>
    <t>FLYER SUTURESS-1</t>
  </si>
  <si>
    <t xml:space="preserve">Old Chapel Vet Clinic              </t>
  </si>
  <si>
    <t>ANTHONY</t>
  </si>
  <si>
    <t>canes</t>
  </si>
  <si>
    <t>POD received from cell 0726813383 M</t>
  </si>
  <si>
    <t xml:space="preserve">Noordheuwel Animal Clinic          </t>
  </si>
  <si>
    <t>JANINE</t>
  </si>
  <si>
    <t>J HUGO</t>
  </si>
  <si>
    <t>Questmed Clinix Lesedi</t>
  </si>
  <si>
    <t>POD received from cell 0781789253 M</t>
  </si>
  <si>
    <t xml:space="preserve">Bergbos Dierekliniek               </t>
  </si>
  <si>
    <t>Hettie</t>
  </si>
  <si>
    <t xml:space="preserve">alisson                       </t>
  </si>
  <si>
    <t>ATH</t>
  </si>
  <si>
    <t xml:space="preserve">POD received from cell 0680792574 M     </t>
  </si>
  <si>
    <t xml:space="preserve">Clinix Botshelong Hospit           </t>
  </si>
  <si>
    <t>Valencia</t>
  </si>
  <si>
    <t>POD received from cell 0842400583 M</t>
  </si>
  <si>
    <t>tyreeq</t>
  </si>
  <si>
    <t>Puleng</t>
  </si>
  <si>
    <t>POD received from cell 0649482691 M</t>
  </si>
  <si>
    <t xml:space="preserve">Rustenburg Medicare                </t>
  </si>
  <si>
    <t>VICTOR</t>
  </si>
  <si>
    <t>Thato</t>
  </si>
  <si>
    <t xml:space="preserve">Mohau                         </t>
  </si>
  <si>
    <t xml:space="preserve">POD received from cell 0790934153 M     </t>
  </si>
  <si>
    <t>Agreement</t>
  </si>
  <si>
    <t>DORDR</t>
  </si>
  <si>
    <t>DORDRECHT</t>
  </si>
  <si>
    <t xml:space="preserve">DORDRECHT MEMORIAL HOSPITAL        </t>
  </si>
  <si>
    <t>nonkanyiso</t>
  </si>
  <si>
    <t>SELENA</t>
  </si>
  <si>
    <t>SEGAMETSI</t>
  </si>
  <si>
    <t xml:space="preserve">SKYNET DURBAN                      </t>
  </si>
  <si>
    <t>PARCY NDLOVU</t>
  </si>
  <si>
    <t>KIM BERNEN</t>
  </si>
  <si>
    <t xml:space="preserve">NETCARE POLOKWANE                  </t>
  </si>
  <si>
    <t>VUTAMI GAVENI</t>
  </si>
  <si>
    <t>Vutomi</t>
  </si>
  <si>
    <t>POD received from cell 0795513816 M</t>
  </si>
  <si>
    <t xml:space="preserve">MC LIMPOPO                         </t>
  </si>
  <si>
    <t>LINKY NGOBENI</t>
  </si>
  <si>
    <t>nahoa</t>
  </si>
  <si>
    <t>Chain store delivery</t>
  </si>
  <si>
    <t>LEVENE KALLORAM</t>
  </si>
  <si>
    <t xml:space="preserve">RASLOUW HOSPITAL PHARMACY          </t>
  </si>
  <si>
    <t>THINUS</t>
  </si>
  <si>
    <t>POD received from cell 0735646078 M</t>
  </si>
  <si>
    <t>NBKOSINATHI</t>
  </si>
  <si>
    <t xml:space="preserve">CLAYTON CARE GROUP                 </t>
  </si>
  <si>
    <t>PROMISE</t>
  </si>
  <si>
    <t>rendan</t>
  </si>
  <si>
    <t xml:space="preserve">Rustenburg Medicare Private Ho     </t>
  </si>
  <si>
    <t>ananda</t>
  </si>
  <si>
    <t>sup</t>
  </si>
  <si>
    <t>POD received from cell 0713327898 M</t>
  </si>
  <si>
    <t>zama</t>
  </si>
  <si>
    <t>NTM</t>
  </si>
  <si>
    <t>HEID2</t>
  </si>
  <si>
    <t>HEIDELBERG (TVL)</t>
  </si>
  <si>
    <t xml:space="preserve">Life Suikerbosrand Hospital        </t>
  </si>
  <si>
    <t>CHRISTINE</t>
  </si>
  <si>
    <t>joanne</t>
  </si>
  <si>
    <t>POD received from cell 0794504670 M</t>
  </si>
  <si>
    <t>Melandrie</t>
  </si>
  <si>
    <t>Zelda</t>
  </si>
  <si>
    <t xml:space="preserve">belinda                       </t>
  </si>
  <si>
    <t xml:space="preserve">POD received from cell 0663915760 M     </t>
  </si>
  <si>
    <t xml:space="preserve">Citivet Bothasig                   </t>
  </si>
  <si>
    <t>DEE</t>
  </si>
  <si>
    <t>juven</t>
  </si>
  <si>
    <t xml:space="preserve">Motsumi Diere Kliniek              </t>
  </si>
  <si>
    <t>ANNELISE</t>
  </si>
  <si>
    <t>Vida</t>
  </si>
  <si>
    <t>BOX SUTURES-17</t>
  </si>
  <si>
    <t>Gaynor</t>
  </si>
  <si>
    <t>SR AMANDA</t>
  </si>
  <si>
    <t>vosjan</t>
  </si>
  <si>
    <t>POD received from cell 0674000125 M</t>
  </si>
  <si>
    <t>MOUN1</t>
  </si>
  <si>
    <t>MOUNT AYLIFF</t>
  </si>
  <si>
    <t xml:space="preserve">MOUNT AYLIFF DH                    </t>
  </si>
  <si>
    <t>NANDIPHA</t>
  </si>
  <si>
    <t>zol</t>
  </si>
  <si>
    <t>LESO1</t>
  </si>
  <si>
    <t>LESOTHO (MAIN CENTRES ONLY)</t>
  </si>
  <si>
    <t xml:space="preserve">NATIONAL DRUG SERVICE ORGANISA     </t>
  </si>
  <si>
    <t>IBC</t>
  </si>
  <si>
    <t>SELLO</t>
  </si>
  <si>
    <t>SEPHEI ATTACHMENT</t>
  </si>
  <si>
    <t>CDC</t>
  </si>
  <si>
    <t>LESO</t>
  </si>
  <si>
    <t xml:space="preserve">Moot General Hospit                </t>
  </si>
  <si>
    <t>WANDA LENNOX</t>
  </si>
  <si>
    <t xml:space="preserve">BOX MEDI                      </t>
  </si>
  <si>
    <t>UITEN</t>
  </si>
  <si>
    <t>UITENHAGE</t>
  </si>
  <si>
    <t xml:space="preserve">Netcare Cuyler                     </t>
  </si>
  <si>
    <t>MPUMEMELO</t>
  </si>
  <si>
    <t xml:space="preserve">CardioMed                          </t>
  </si>
  <si>
    <t>ANGELIQUE</t>
  </si>
  <si>
    <t xml:space="preserve">Bergzicht Animal Hospital          </t>
  </si>
  <si>
    <t xml:space="preserve">Cape Gate Hospit Pharma            </t>
  </si>
  <si>
    <t>taariq</t>
  </si>
  <si>
    <t>POD received from cell 0842084217 M</t>
  </si>
  <si>
    <t>Anna</t>
  </si>
  <si>
    <t xml:space="preserve">sivuyile                      </t>
  </si>
  <si>
    <t xml:space="preserve">POD received from cell 0732794033 M     </t>
  </si>
  <si>
    <t xml:space="preserve">Tzaneen Animal Clinic              </t>
  </si>
  <si>
    <t>DR PIETER CORDIER</t>
  </si>
  <si>
    <t>0850</t>
  </si>
  <si>
    <t>FLYER SUTUYRES-2</t>
  </si>
  <si>
    <t>Anita Seeger</t>
  </si>
  <si>
    <t>Flyer Sutuyres-2</t>
  </si>
  <si>
    <t xml:space="preserve">Life Springs Parkland Hospital     </t>
  </si>
  <si>
    <t>Anita Taljaard</t>
  </si>
  <si>
    <t xml:space="preserve">Samuel                        </t>
  </si>
  <si>
    <t xml:space="preserve">POD received from cell 0609039667 M     </t>
  </si>
  <si>
    <t>CHIDO CHAUKE</t>
  </si>
  <si>
    <t>FLYER SUTUYRES-3</t>
  </si>
  <si>
    <t xml:space="preserve">St Georges Hospit                  </t>
  </si>
  <si>
    <t>L.STANDER</t>
  </si>
  <si>
    <t>Dino</t>
  </si>
  <si>
    <t xml:space="preserve">NETCARE GREENACRES                 </t>
  </si>
  <si>
    <t>Tegan</t>
  </si>
  <si>
    <t>POD received from cell 0814739791 M</t>
  </si>
  <si>
    <t xml:space="preserve">LM Matyotywa                  </t>
  </si>
  <si>
    <t xml:space="preserve">POD received from cell 0795552352 M     </t>
  </si>
  <si>
    <t>BOX SUTURTES-20</t>
  </si>
  <si>
    <t>MRS M.LUDICK</t>
  </si>
  <si>
    <t>Kurt</t>
  </si>
  <si>
    <t>BOX SUTURES-30</t>
  </si>
  <si>
    <t xml:space="preserve">Medical Hospital of Lebowakgom     </t>
  </si>
  <si>
    <t>Christabel Machimana</t>
  </si>
  <si>
    <t>CSH / FUE / doc / NDC</t>
  </si>
  <si>
    <t>MOSSE</t>
  </si>
  <si>
    <t>MOSSEL BAY</t>
  </si>
  <si>
    <t xml:space="preserve">DR s Strauss  Gericke              </t>
  </si>
  <si>
    <t>Anelie Gouw</t>
  </si>
  <si>
    <t>JULIAN</t>
  </si>
  <si>
    <t xml:space="preserve">WC HEALTH KARL BREMER HOSPITAL     </t>
  </si>
  <si>
    <t>V.MOUTON</t>
  </si>
  <si>
    <t xml:space="preserve">BOIX SUY                      </t>
  </si>
  <si>
    <t xml:space="preserve">Vrede Hospit                       </t>
  </si>
  <si>
    <t>ANIKA</t>
  </si>
  <si>
    <t xml:space="preserve">Unitas Hospit                      </t>
  </si>
  <si>
    <t>JOHN VAN GUND</t>
  </si>
  <si>
    <t xml:space="preserve">BOX HIGH                      </t>
  </si>
  <si>
    <t xml:space="preserve">CORMED CLINIC                      </t>
  </si>
  <si>
    <t>MAGDEL</t>
  </si>
  <si>
    <t>RONEL</t>
  </si>
  <si>
    <t xml:space="preserve">Pietersburg Hospit                 </t>
  </si>
  <si>
    <t>0700</t>
  </si>
  <si>
    <t xml:space="preserve">Netcare St Augustine Hosp.         </t>
  </si>
  <si>
    <t>LYLE NAIDOO</t>
  </si>
  <si>
    <t>GANSEN</t>
  </si>
  <si>
    <t xml:space="preserve">Ngwelezane Hospital                </t>
  </si>
  <si>
    <t xml:space="preserve">BOXES ME                      </t>
  </si>
  <si>
    <t>KEDIBONE</t>
  </si>
  <si>
    <t xml:space="preserve">BOX FLOW                      </t>
  </si>
  <si>
    <t xml:space="preserve">Cure Day Hospitals Mbombela        </t>
  </si>
  <si>
    <t>LOLETTA STANDER</t>
  </si>
  <si>
    <t xml:space="preserve">DR LIANA VOLKWYN                   </t>
  </si>
  <si>
    <t>0011</t>
  </si>
  <si>
    <t xml:space="preserve">DR JPM PIENAAR                     </t>
  </si>
  <si>
    <t>Lipson  Pharmacy</t>
  </si>
  <si>
    <t xml:space="preserve">CLINIX - DR SK MATSEKE MEMI HO     </t>
  </si>
  <si>
    <t>hapburn</t>
  </si>
  <si>
    <t xml:space="preserve">Milnerton Medi Clinic Pharma       </t>
  </si>
  <si>
    <t>SARAH</t>
  </si>
  <si>
    <t>FLYER SUTUIRES-3</t>
  </si>
  <si>
    <t>VICTOR MOSEKI</t>
  </si>
  <si>
    <t xml:space="preserve">George Surgical Centre             </t>
  </si>
  <si>
    <t xml:space="preserve">Citivet Monte Vista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</si>
</sst>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5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14" fontId="0" fillId="0" borderId="0" xfId="0" applyNumberFormat="1"/>
    <xf numFmtId="20" fontId="0" fillId="0" borderId="0" xfId="0" applyNumberFormat="1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BE26F-21B9-4446-8088-382AB54FE530}">
  <dimension ref="A1:CN528"/>
  <sheetViews>
    <sheetView tabSelected="1" topLeftCell="A518" workbookViewId="0">
      <selection activeCell="A529" sqref="A529:XFD945"/>
    </sheetView>
  </sheetViews>
  <sheetFormatPr defaultRowHeight="14.4" x14ac:dyDescent="0.3"/>
  <sheetData>
    <row r="1" spans="1:92" ht="15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17</v>
      </c>
      <c r="U1" s="1" t="s">
        <v>19</v>
      </c>
      <c r="V1" s="1" t="s">
        <v>17</v>
      </c>
      <c r="W1" s="1" t="s">
        <v>20</v>
      </c>
      <c r="X1" s="1" t="s">
        <v>17</v>
      </c>
      <c r="Y1" s="1" t="s">
        <v>21</v>
      </c>
      <c r="Z1" s="1" t="s">
        <v>17</v>
      </c>
      <c r="AA1" s="1" t="s">
        <v>22</v>
      </c>
      <c r="AB1" s="1" t="s">
        <v>17</v>
      </c>
      <c r="AC1" s="1" t="s">
        <v>23</v>
      </c>
      <c r="AD1" s="1" t="s">
        <v>17</v>
      </c>
      <c r="AE1" s="1" t="s">
        <v>24</v>
      </c>
      <c r="AF1" s="1" t="s">
        <v>17</v>
      </c>
      <c r="AG1" s="1" t="s">
        <v>25</v>
      </c>
      <c r="AH1" s="1" t="s">
        <v>17</v>
      </c>
      <c r="AI1" s="1" t="s">
        <v>26</v>
      </c>
      <c r="AJ1" s="1" t="s">
        <v>17</v>
      </c>
      <c r="AK1" s="1" t="s">
        <v>27</v>
      </c>
      <c r="AL1" s="1" t="s">
        <v>17</v>
      </c>
      <c r="AM1" s="1" t="s">
        <v>28</v>
      </c>
      <c r="AN1" s="1" t="s">
        <v>17</v>
      </c>
      <c r="AO1" s="1" t="s">
        <v>29</v>
      </c>
      <c r="AP1" s="1" t="s">
        <v>17</v>
      </c>
      <c r="AQ1" s="1" t="s">
        <v>30</v>
      </c>
      <c r="AR1" s="1" t="s">
        <v>17</v>
      </c>
      <c r="AS1" s="1" t="s">
        <v>31</v>
      </c>
      <c r="AT1" s="1" t="s">
        <v>17</v>
      </c>
      <c r="AU1" s="1" t="s">
        <v>32</v>
      </c>
      <c r="AV1" s="1" t="s">
        <v>17</v>
      </c>
      <c r="AW1" s="1" t="s">
        <v>33</v>
      </c>
      <c r="AX1" s="1" t="s">
        <v>17</v>
      </c>
      <c r="AY1" s="1" t="s">
        <v>34</v>
      </c>
      <c r="AZ1" s="1" t="s">
        <v>17</v>
      </c>
      <c r="BA1" s="1" t="s">
        <v>35</v>
      </c>
      <c r="BB1" s="1" t="s">
        <v>17</v>
      </c>
      <c r="BC1" s="1" t="s">
        <v>36</v>
      </c>
      <c r="BD1" s="1" t="s">
        <v>17</v>
      </c>
      <c r="BE1" s="1" t="s">
        <v>37</v>
      </c>
      <c r="BF1" s="1" t="s">
        <v>17</v>
      </c>
      <c r="BG1" s="1" t="s">
        <v>38</v>
      </c>
      <c r="BH1" s="1" t="s">
        <v>39</v>
      </c>
      <c r="BI1" s="1" t="s">
        <v>40</v>
      </c>
      <c r="BJ1" s="1" t="s">
        <v>41</v>
      </c>
      <c r="BK1" s="1" t="s">
        <v>42</v>
      </c>
      <c r="BL1" s="1" t="s">
        <v>43</v>
      </c>
      <c r="BM1" s="1" t="s">
        <v>44</v>
      </c>
      <c r="BN1" s="1" t="s">
        <v>45</v>
      </c>
      <c r="BO1" s="1" t="s">
        <v>46</v>
      </c>
      <c r="BP1" s="1" t="s">
        <v>47</v>
      </c>
      <c r="BQ1" s="1" t="s">
        <v>48</v>
      </c>
      <c r="BR1" s="1" t="s">
        <v>49</v>
      </c>
      <c r="BS1" s="1" t="s">
        <v>50</v>
      </c>
      <c r="BT1" s="1" t="s">
        <v>51</v>
      </c>
      <c r="BU1" s="1" t="s">
        <v>52</v>
      </c>
      <c r="BV1" s="1" t="s">
        <v>53</v>
      </c>
      <c r="BW1" s="1" t="s">
        <v>54</v>
      </c>
      <c r="BX1" s="1" t="s">
        <v>55</v>
      </c>
      <c r="BY1" s="1" t="s">
        <v>56</v>
      </c>
      <c r="BZ1" s="1" t="s">
        <v>57</v>
      </c>
      <c r="CA1" s="1" t="s">
        <v>58</v>
      </c>
      <c r="CB1" s="1" t="s">
        <v>59</v>
      </c>
      <c r="CC1" s="1" t="s">
        <v>60</v>
      </c>
      <c r="CD1" s="1" t="s">
        <v>61</v>
      </c>
      <c r="CE1" s="1" t="s">
        <v>62</v>
      </c>
      <c r="CF1" s="1" t="s">
        <v>63</v>
      </c>
      <c r="CG1" s="1" t="s">
        <v>64</v>
      </c>
      <c r="CH1" s="1" t="s">
        <v>65</v>
      </c>
      <c r="CI1" s="1" t="s">
        <v>66</v>
      </c>
      <c r="CJ1" s="1" t="s">
        <v>67</v>
      </c>
      <c r="CK1" s="1" t="s">
        <v>68</v>
      </c>
      <c r="CL1" s="1" t="s">
        <v>69</v>
      </c>
      <c r="CM1" s="1" t="s">
        <v>70</v>
      </c>
      <c r="CN1" s="2" t="s">
        <v>71</v>
      </c>
    </row>
    <row r="2" spans="1:92" x14ac:dyDescent="0.3">
      <c r="A2" t="s">
        <v>72</v>
      </c>
      <c r="B2" t="s">
        <v>73</v>
      </c>
      <c r="C2" t="s">
        <v>74</v>
      </c>
      <c r="E2" t="str">
        <f>"GAB2027612"</f>
        <v>GAB2027612</v>
      </c>
      <c r="F2" s="3">
        <v>45870</v>
      </c>
      <c r="G2">
        <v>202605</v>
      </c>
      <c r="H2" t="s">
        <v>75</v>
      </c>
      <c r="I2" t="s">
        <v>76</v>
      </c>
      <c r="J2" t="s">
        <v>77</v>
      </c>
      <c r="K2" t="s">
        <v>78</v>
      </c>
      <c r="L2" t="s">
        <v>79</v>
      </c>
      <c r="M2" t="s">
        <v>80</v>
      </c>
      <c r="N2" t="s">
        <v>81</v>
      </c>
      <c r="O2" t="s">
        <v>82</v>
      </c>
      <c r="P2" t="str">
        <f>"INV-00119819 CT096113         "</f>
        <v xml:space="preserve">INV-00119819 CT096113         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5.87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43.7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1</v>
      </c>
      <c r="BI2">
        <v>4.2</v>
      </c>
      <c r="BJ2">
        <v>8.5</v>
      </c>
      <c r="BK2">
        <v>9</v>
      </c>
      <c r="BL2">
        <v>143.55000000000001</v>
      </c>
      <c r="BM2">
        <v>21.53</v>
      </c>
      <c r="BN2">
        <v>165.08</v>
      </c>
      <c r="BO2">
        <v>165.08</v>
      </c>
      <c r="BQ2" t="s">
        <v>83</v>
      </c>
      <c r="BR2" t="s">
        <v>84</v>
      </c>
      <c r="BS2" s="3">
        <v>45873</v>
      </c>
      <c r="BT2" s="4">
        <v>0.34652777777777777</v>
      </c>
      <c r="BU2" t="s">
        <v>85</v>
      </c>
      <c r="BV2" t="s">
        <v>86</v>
      </c>
      <c r="BY2">
        <v>42459.3</v>
      </c>
      <c r="CA2" t="s">
        <v>87</v>
      </c>
      <c r="CC2" t="s">
        <v>80</v>
      </c>
      <c r="CD2" s="5" t="s">
        <v>88</v>
      </c>
      <c r="CE2" t="s">
        <v>89</v>
      </c>
      <c r="CF2" s="3">
        <v>45873</v>
      </c>
      <c r="CI2">
        <v>3</v>
      </c>
      <c r="CJ2">
        <v>1</v>
      </c>
      <c r="CK2">
        <v>41</v>
      </c>
      <c r="CL2" t="s">
        <v>90</v>
      </c>
    </row>
    <row r="3" spans="1:92" x14ac:dyDescent="0.3">
      <c r="A3" t="s">
        <v>72</v>
      </c>
      <c r="B3" t="s">
        <v>73</v>
      </c>
      <c r="C3" t="s">
        <v>74</v>
      </c>
      <c r="E3" t="str">
        <f>"GAB2027619"</f>
        <v>GAB2027619</v>
      </c>
      <c r="F3" s="3">
        <v>45870</v>
      </c>
      <c r="G3">
        <v>202605</v>
      </c>
      <c r="H3" t="s">
        <v>75</v>
      </c>
      <c r="I3" t="s">
        <v>76</v>
      </c>
      <c r="J3" t="s">
        <v>77</v>
      </c>
      <c r="K3" t="s">
        <v>78</v>
      </c>
      <c r="L3" t="s">
        <v>91</v>
      </c>
      <c r="M3" t="s">
        <v>92</v>
      </c>
      <c r="N3" t="s">
        <v>93</v>
      </c>
      <c r="O3" t="s">
        <v>82</v>
      </c>
      <c r="P3" t="str">
        <f>"INV-00119821 00119822 CT096178"</f>
        <v>INV-00119821 00119822 CT096178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5.87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74.37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4</v>
      </c>
      <c r="BI3">
        <v>14.2</v>
      </c>
      <c r="BJ3">
        <v>31.7</v>
      </c>
      <c r="BK3">
        <v>32</v>
      </c>
      <c r="BL3">
        <v>240.18</v>
      </c>
      <c r="BM3">
        <v>36.03</v>
      </c>
      <c r="BN3">
        <v>276.20999999999998</v>
      </c>
      <c r="BO3">
        <v>276.20999999999998</v>
      </c>
      <c r="BQ3" t="s">
        <v>94</v>
      </c>
      <c r="BR3" t="s">
        <v>84</v>
      </c>
      <c r="BS3" s="3">
        <v>45873</v>
      </c>
      <c r="BT3" s="4">
        <v>0.58402777777777781</v>
      </c>
      <c r="BU3" t="s">
        <v>95</v>
      </c>
      <c r="BV3" t="s">
        <v>86</v>
      </c>
      <c r="BY3">
        <v>158512.76999999999</v>
      </c>
      <c r="CA3" t="s">
        <v>96</v>
      </c>
      <c r="CC3" t="s">
        <v>92</v>
      </c>
      <c r="CD3">
        <v>4001</v>
      </c>
      <c r="CE3" t="s">
        <v>89</v>
      </c>
      <c r="CF3" s="3">
        <v>45874</v>
      </c>
      <c r="CI3">
        <v>3</v>
      </c>
      <c r="CJ3">
        <v>1</v>
      </c>
      <c r="CK3">
        <v>41</v>
      </c>
      <c r="CL3" t="s">
        <v>90</v>
      </c>
    </row>
    <row r="4" spans="1:92" x14ac:dyDescent="0.3">
      <c r="A4" t="s">
        <v>72</v>
      </c>
      <c r="B4" t="s">
        <v>73</v>
      </c>
      <c r="C4" t="s">
        <v>74</v>
      </c>
      <c r="E4" t="str">
        <f>"GAB2027606"</f>
        <v>GAB2027606</v>
      </c>
      <c r="F4" s="3">
        <v>45870</v>
      </c>
      <c r="G4">
        <v>202605</v>
      </c>
      <c r="H4" t="s">
        <v>75</v>
      </c>
      <c r="I4" t="s">
        <v>76</v>
      </c>
      <c r="J4" t="s">
        <v>77</v>
      </c>
      <c r="K4" t="s">
        <v>78</v>
      </c>
      <c r="L4" t="s">
        <v>97</v>
      </c>
      <c r="M4" t="s">
        <v>98</v>
      </c>
      <c r="N4" t="s">
        <v>99</v>
      </c>
      <c r="O4" t="s">
        <v>100</v>
      </c>
      <c r="P4" t="str">
        <f>"INV-00119816 CT096419         "</f>
        <v xml:space="preserve">INV-00119816 CT096419         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33.89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1</v>
      </c>
      <c r="BI4">
        <v>0.9</v>
      </c>
      <c r="BJ4">
        <v>2.9</v>
      </c>
      <c r="BK4">
        <v>3</v>
      </c>
      <c r="BL4">
        <v>106.77</v>
      </c>
      <c r="BM4">
        <v>16.02</v>
      </c>
      <c r="BN4">
        <v>122.79</v>
      </c>
      <c r="BO4">
        <v>122.79</v>
      </c>
      <c r="BR4" t="s">
        <v>84</v>
      </c>
      <c r="BS4" s="3">
        <v>45873</v>
      </c>
      <c r="BT4" s="4">
        <v>0.40069444444444446</v>
      </c>
      <c r="BU4" t="s">
        <v>101</v>
      </c>
      <c r="BV4" t="s">
        <v>86</v>
      </c>
      <c r="BY4">
        <v>14666.52</v>
      </c>
      <c r="BZ4" t="s">
        <v>102</v>
      </c>
      <c r="CA4" t="s">
        <v>103</v>
      </c>
      <c r="CC4" t="s">
        <v>98</v>
      </c>
      <c r="CD4">
        <v>2146</v>
      </c>
      <c r="CE4" t="s">
        <v>104</v>
      </c>
      <c r="CF4" s="3">
        <v>45874</v>
      </c>
      <c r="CI4">
        <v>1</v>
      </c>
      <c r="CJ4">
        <v>1</v>
      </c>
      <c r="CK4">
        <v>21</v>
      </c>
      <c r="CL4" t="s">
        <v>90</v>
      </c>
    </row>
    <row r="5" spans="1:92" x14ac:dyDescent="0.3">
      <c r="A5" t="s">
        <v>72</v>
      </c>
      <c r="B5" t="s">
        <v>73</v>
      </c>
      <c r="C5" t="s">
        <v>74</v>
      </c>
      <c r="E5" t="str">
        <f>"GAB2027607"</f>
        <v>GAB2027607</v>
      </c>
      <c r="F5" s="3">
        <v>45870</v>
      </c>
      <c r="G5">
        <v>202605</v>
      </c>
      <c r="H5" t="s">
        <v>75</v>
      </c>
      <c r="I5" t="s">
        <v>76</v>
      </c>
      <c r="J5" t="s">
        <v>77</v>
      </c>
      <c r="K5" t="s">
        <v>78</v>
      </c>
      <c r="L5" t="s">
        <v>91</v>
      </c>
      <c r="M5" t="s">
        <v>92</v>
      </c>
      <c r="N5" t="s">
        <v>105</v>
      </c>
      <c r="O5" t="s">
        <v>100</v>
      </c>
      <c r="P5" t="str">
        <f>"INV-00038062 035090           "</f>
        <v xml:space="preserve">INV-00038062 035090           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28.24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1</v>
      </c>
      <c r="BI5">
        <v>0.8</v>
      </c>
      <c r="BJ5">
        <v>2.2000000000000002</v>
      </c>
      <c r="BK5">
        <v>2.5</v>
      </c>
      <c r="BL5">
        <v>88.98</v>
      </c>
      <c r="BM5">
        <v>13.35</v>
      </c>
      <c r="BN5">
        <v>102.33</v>
      </c>
      <c r="BO5">
        <v>102.33</v>
      </c>
      <c r="BQ5" t="s">
        <v>106</v>
      </c>
      <c r="BR5" t="s">
        <v>84</v>
      </c>
      <c r="BS5" s="3">
        <v>45873</v>
      </c>
      <c r="BT5" s="4">
        <v>0.36736111111111114</v>
      </c>
      <c r="BU5" t="s">
        <v>107</v>
      </c>
      <c r="BV5" t="s">
        <v>86</v>
      </c>
      <c r="BY5">
        <v>11013.73</v>
      </c>
      <c r="BZ5" t="s">
        <v>102</v>
      </c>
      <c r="CA5" t="s">
        <v>108</v>
      </c>
      <c r="CC5" t="s">
        <v>92</v>
      </c>
      <c r="CD5">
        <v>4001</v>
      </c>
      <c r="CE5" t="s">
        <v>109</v>
      </c>
      <c r="CF5" s="3">
        <v>45873</v>
      </c>
      <c r="CI5">
        <v>2</v>
      </c>
      <c r="CJ5">
        <v>1</v>
      </c>
      <c r="CK5">
        <v>21</v>
      </c>
      <c r="CL5" t="s">
        <v>90</v>
      </c>
    </row>
    <row r="6" spans="1:92" x14ac:dyDescent="0.3">
      <c r="A6" t="s">
        <v>72</v>
      </c>
      <c r="B6" t="s">
        <v>73</v>
      </c>
      <c r="C6" t="s">
        <v>74</v>
      </c>
      <c r="E6" t="str">
        <f>"GAB2027608"</f>
        <v>GAB2027608</v>
      </c>
      <c r="F6" s="3">
        <v>45870</v>
      </c>
      <c r="G6">
        <v>202605</v>
      </c>
      <c r="H6" t="s">
        <v>75</v>
      </c>
      <c r="I6" t="s">
        <v>76</v>
      </c>
      <c r="J6" t="s">
        <v>77</v>
      </c>
      <c r="K6" t="s">
        <v>78</v>
      </c>
      <c r="L6" t="s">
        <v>110</v>
      </c>
      <c r="M6" t="s">
        <v>111</v>
      </c>
      <c r="N6" t="s">
        <v>112</v>
      </c>
      <c r="O6" t="s">
        <v>100</v>
      </c>
      <c r="P6" t="str">
        <f>"INV-00119807 CT096418         "</f>
        <v xml:space="preserve">INV-00119807 CT096418         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31.78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1</v>
      </c>
      <c r="BI6">
        <v>0.7</v>
      </c>
      <c r="BJ6">
        <v>2</v>
      </c>
      <c r="BK6">
        <v>2</v>
      </c>
      <c r="BL6">
        <v>100.13</v>
      </c>
      <c r="BM6">
        <v>15.02</v>
      </c>
      <c r="BN6">
        <v>115.15</v>
      </c>
      <c r="BO6">
        <v>115.15</v>
      </c>
      <c r="BQ6" t="s">
        <v>113</v>
      </c>
      <c r="BR6" t="s">
        <v>84</v>
      </c>
      <c r="BS6" s="3">
        <v>45873</v>
      </c>
      <c r="BT6" s="4">
        <v>0.60763888888888884</v>
      </c>
      <c r="BU6" t="s">
        <v>114</v>
      </c>
      <c r="BV6" t="s">
        <v>86</v>
      </c>
      <c r="BY6">
        <v>9894.42</v>
      </c>
      <c r="BZ6" t="s">
        <v>102</v>
      </c>
      <c r="CA6" t="s">
        <v>115</v>
      </c>
      <c r="CC6" t="s">
        <v>111</v>
      </c>
      <c r="CD6">
        <v>7200</v>
      </c>
      <c r="CE6" t="s">
        <v>116</v>
      </c>
      <c r="CF6" s="3">
        <v>45874</v>
      </c>
      <c r="CI6">
        <v>2</v>
      </c>
      <c r="CJ6">
        <v>1</v>
      </c>
      <c r="CK6">
        <v>24</v>
      </c>
      <c r="CL6" t="s">
        <v>90</v>
      </c>
    </row>
    <row r="7" spans="1:92" x14ac:dyDescent="0.3">
      <c r="A7" t="s">
        <v>72</v>
      </c>
      <c r="B7" t="s">
        <v>73</v>
      </c>
      <c r="C7" t="s">
        <v>74</v>
      </c>
      <c r="E7" t="str">
        <f>"GAB2027609"</f>
        <v>GAB2027609</v>
      </c>
      <c r="F7" s="3">
        <v>45870</v>
      </c>
      <c r="G7">
        <v>202605</v>
      </c>
      <c r="H7" t="s">
        <v>75</v>
      </c>
      <c r="I7" t="s">
        <v>76</v>
      </c>
      <c r="J7" t="s">
        <v>77</v>
      </c>
      <c r="K7" t="s">
        <v>78</v>
      </c>
      <c r="L7" t="s">
        <v>97</v>
      </c>
      <c r="M7" t="s">
        <v>98</v>
      </c>
      <c r="N7" t="s">
        <v>99</v>
      </c>
      <c r="O7" t="s">
        <v>100</v>
      </c>
      <c r="P7" t="str">
        <f>"INV-00119808 CT096413         "</f>
        <v xml:space="preserve">INV-00119808 CT096413         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28.24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1</v>
      </c>
      <c r="BI7">
        <v>1</v>
      </c>
      <c r="BJ7">
        <v>2.4</v>
      </c>
      <c r="BK7">
        <v>2.5</v>
      </c>
      <c r="BL7">
        <v>88.98</v>
      </c>
      <c r="BM7">
        <v>13.35</v>
      </c>
      <c r="BN7">
        <v>102.33</v>
      </c>
      <c r="BO7">
        <v>102.33</v>
      </c>
      <c r="BR7" t="s">
        <v>84</v>
      </c>
      <c r="BS7" s="3">
        <v>45870</v>
      </c>
      <c r="BT7" s="4">
        <v>0.41666666666666669</v>
      </c>
      <c r="BU7" t="s">
        <v>117</v>
      </c>
      <c r="BV7" t="s">
        <v>86</v>
      </c>
      <c r="BY7">
        <v>12000</v>
      </c>
      <c r="CC7" t="s">
        <v>98</v>
      </c>
      <c r="CD7">
        <v>2146</v>
      </c>
      <c r="CE7" t="s">
        <v>116</v>
      </c>
      <c r="CF7" s="3">
        <v>45876</v>
      </c>
      <c r="CI7">
        <v>1</v>
      </c>
      <c r="CJ7">
        <v>0</v>
      </c>
      <c r="CK7">
        <v>21</v>
      </c>
      <c r="CL7" t="s">
        <v>90</v>
      </c>
    </row>
    <row r="8" spans="1:92" x14ac:dyDescent="0.3">
      <c r="A8" t="s">
        <v>72</v>
      </c>
      <c r="B8" t="s">
        <v>73</v>
      </c>
      <c r="C8" t="s">
        <v>74</v>
      </c>
      <c r="E8" t="str">
        <f>"GAB2027610"</f>
        <v>GAB2027610</v>
      </c>
      <c r="F8" s="3">
        <v>45870</v>
      </c>
      <c r="G8">
        <v>202605</v>
      </c>
      <c r="H8" t="s">
        <v>75</v>
      </c>
      <c r="I8" t="s">
        <v>76</v>
      </c>
      <c r="J8" t="s">
        <v>77</v>
      </c>
      <c r="K8" t="s">
        <v>78</v>
      </c>
      <c r="L8" t="s">
        <v>118</v>
      </c>
      <c r="M8" t="s">
        <v>119</v>
      </c>
      <c r="N8" t="s">
        <v>120</v>
      </c>
      <c r="O8" t="s">
        <v>100</v>
      </c>
      <c r="P8" t="str">
        <f>"INV-00119809 CT096414         "</f>
        <v xml:space="preserve">INV-00119809 CT096414         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22.6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1</v>
      </c>
      <c r="BI8">
        <v>1.5</v>
      </c>
      <c r="BJ8">
        <v>1.7</v>
      </c>
      <c r="BK8">
        <v>2</v>
      </c>
      <c r="BL8">
        <v>71.2</v>
      </c>
      <c r="BM8">
        <v>10.68</v>
      </c>
      <c r="BN8">
        <v>81.88</v>
      </c>
      <c r="BO8">
        <v>81.88</v>
      </c>
      <c r="BQ8" t="s">
        <v>121</v>
      </c>
      <c r="BR8" t="s">
        <v>84</v>
      </c>
      <c r="BS8" s="3">
        <v>45873</v>
      </c>
      <c r="BT8" s="4">
        <v>0.4201388888888889</v>
      </c>
      <c r="BU8" t="s">
        <v>122</v>
      </c>
      <c r="BV8" t="s">
        <v>86</v>
      </c>
      <c r="BY8">
        <v>8350.49</v>
      </c>
      <c r="BZ8" t="s">
        <v>102</v>
      </c>
      <c r="CA8" t="s">
        <v>123</v>
      </c>
      <c r="CC8" t="s">
        <v>119</v>
      </c>
      <c r="CD8" s="5" t="s">
        <v>124</v>
      </c>
      <c r="CE8" t="s">
        <v>125</v>
      </c>
      <c r="CF8" s="3">
        <v>45873</v>
      </c>
      <c r="CI8">
        <v>2</v>
      </c>
      <c r="CJ8">
        <v>1</v>
      </c>
      <c r="CK8">
        <v>21</v>
      </c>
      <c r="CL8" t="s">
        <v>90</v>
      </c>
    </row>
    <row r="9" spans="1:92" x14ac:dyDescent="0.3">
      <c r="A9" t="s">
        <v>72</v>
      </c>
      <c r="B9" t="s">
        <v>73</v>
      </c>
      <c r="C9" t="s">
        <v>74</v>
      </c>
      <c r="E9" t="str">
        <f>"GAB2027611"</f>
        <v>GAB2027611</v>
      </c>
      <c r="F9" s="3">
        <v>45870</v>
      </c>
      <c r="G9">
        <v>202605</v>
      </c>
      <c r="H9" t="s">
        <v>75</v>
      </c>
      <c r="I9" t="s">
        <v>76</v>
      </c>
      <c r="J9" t="s">
        <v>77</v>
      </c>
      <c r="K9" t="s">
        <v>78</v>
      </c>
      <c r="L9" t="s">
        <v>126</v>
      </c>
      <c r="M9" t="s">
        <v>127</v>
      </c>
      <c r="N9" t="s">
        <v>128</v>
      </c>
      <c r="O9" t="s">
        <v>100</v>
      </c>
      <c r="P9" t="str">
        <f>"inv-00119810 CT096415         "</f>
        <v xml:space="preserve">inv-00119810 CT096415         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17.649999999999999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1</v>
      </c>
      <c r="BI9">
        <v>0.7</v>
      </c>
      <c r="BJ9">
        <v>2.2000000000000002</v>
      </c>
      <c r="BK9">
        <v>3</v>
      </c>
      <c r="BL9">
        <v>55.61</v>
      </c>
      <c r="BM9">
        <v>8.34</v>
      </c>
      <c r="BN9">
        <v>63.95</v>
      </c>
      <c r="BO9">
        <v>63.95</v>
      </c>
      <c r="BQ9" t="s">
        <v>129</v>
      </c>
      <c r="BR9" t="s">
        <v>84</v>
      </c>
      <c r="BS9" s="3">
        <v>45873</v>
      </c>
      <c r="BT9" s="4">
        <v>0.42916666666666664</v>
      </c>
      <c r="BU9" t="s">
        <v>130</v>
      </c>
      <c r="BV9" t="s">
        <v>86</v>
      </c>
      <c r="BY9">
        <v>11180</v>
      </c>
      <c r="BZ9" t="s">
        <v>102</v>
      </c>
      <c r="CA9" t="s">
        <v>131</v>
      </c>
      <c r="CC9" t="s">
        <v>127</v>
      </c>
      <c r="CD9">
        <v>7600</v>
      </c>
      <c r="CE9" t="s">
        <v>109</v>
      </c>
      <c r="CF9" s="3">
        <v>45874</v>
      </c>
      <c r="CI9">
        <v>1</v>
      </c>
      <c r="CJ9">
        <v>1</v>
      </c>
      <c r="CK9">
        <v>22</v>
      </c>
      <c r="CL9" t="s">
        <v>90</v>
      </c>
    </row>
    <row r="10" spans="1:92" x14ac:dyDescent="0.3">
      <c r="A10" t="s">
        <v>72</v>
      </c>
      <c r="B10" t="s">
        <v>73</v>
      </c>
      <c r="C10" t="s">
        <v>74</v>
      </c>
      <c r="E10" t="str">
        <f>"GAB2027613"</f>
        <v>GAB2027613</v>
      </c>
      <c r="F10" s="3">
        <v>45870</v>
      </c>
      <c r="G10">
        <v>202605</v>
      </c>
      <c r="H10" t="s">
        <v>75</v>
      </c>
      <c r="I10" t="s">
        <v>76</v>
      </c>
      <c r="J10" t="s">
        <v>77</v>
      </c>
      <c r="K10" t="s">
        <v>78</v>
      </c>
      <c r="L10" t="s">
        <v>132</v>
      </c>
      <c r="M10" t="s">
        <v>133</v>
      </c>
      <c r="N10" t="s">
        <v>134</v>
      </c>
      <c r="O10" t="s">
        <v>100</v>
      </c>
      <c r="P10" t="str">
        <f>"INV-00119811 CT096377         "</f>
        <v xml:space="preserve">INV-00119811 CT096377         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63.56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1</v>
      </c>
      <c r="BI10">
        <v>0.9</v>
      </c>
      <c r="BJ10">
        <v>2.6</v>
      </c>
      <c r="BK10">
        <v>3</v>
      </c>
      <c r="BL10">
        <v>200.24</v>
      </c>
      <c r="BM10">
        <v>30.04</v>
      </c>
      <c r="BN10">
        <v>230.28</v>
      </c>
      <c r="BO10">
        <v>230.28</v>
      </c>
      <c r="BQ10" t="s">
        <v>135</v>
      </c>
      <c r="BR10" t="s">
        <v>84</v>
      </c>
      <c r="BS10" s="3">
        <v>45874</v>
      </c>
      <c r="BT10" s="4">
        <v>0.51944444444444449</v>
      </c>
      <c r="BU10" t="s">
        <v>136</v>
      </c>
      <c r="BV10" t="s">
        <v>86</v>
      </c>
      <c r="BY10">
        <v>12875.42</v>
      </c>
      <c r="BZ10" t="s">
        <v>102</v>
      </c>
      <c r="CC10" t="s">
        <v>133</v>
      </c>
      <c r="CD10">
        <v>3100</v>
      </c>
      <c r="CE10" t="s">
        <v>104</v>
      </c>
      <c r="CF10" s="3">
        <v>45880</v>
      </c>
      <c r="CI10">
        <v>2</v>
      </c>
      <c r="CJ10">
        <v>2</v>
      </c>
      <c r="CK10">
        <v>23</v>
      </c>
      <c r="CL10" t="s">
        <v>90</v>
      </c>
    </row>
    <row r="11" spans="1:92" x14ac:dyDescent="0.3">
      <c r="A11" t="s">
        <v>72</v>
      </c>
      <c r="B11" t="s">
        <v>73</v>
      </c>
      <c r="C11" t="s">
        <v>74</v>
      </c>
      <c r="E11" t="str">
        <f>"GAB2027614"</f>
        <v>GAB2027614</v>
      </c>
      <c r="F11" s="3">
        <v>45870</v>
      </c>
      <c r="G11">
        <v>202605</v>
      </c>
      <c r="H11" t="s">
        <v>75</v>
      </c>
      <c r="I11" t="s">
        <v>76</v>
      </c>
      <c r="J11" t="s">
        <v>77</v>
      </c>
      <c r="K11" t="s">
        <v>78</v>
      </c>
      <c r="L11" t="s">
        <v>137</v>
      </c>
      <c r="M11" t="s">
        <v>138</v>
      </c>
      <c r="N11" t="s">
        <v>139</v>
      </c>
      <c r="O11" t="s">
        <v>100</v>
      </c>
      <c r="P11" t="str">
        <f>"INV-00119812 CT096411         "</f>
        <v xml:space="preserve">INV-00119812 CT096411         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47.26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1</v>
      </c>
      <c r="BI11">
        <v>0.8</v>
      </c>
      <c r="BJ11">
        <v>3</v>
      </c>
      <c r="BK11">
        <v>3</v>
      </c>
      <c r="BL11">
        <v>148.88999999999999</v>
      </c>
      <c r="BM11">
        <v>22.33</v>
      </c>
      <c r="BN11">
        <v>171.22</v>
      </c>
      <c r="BO11">
        <v>171.22</v>
      </c>
      <c r="BQ11" t="s">
        <v>140</v>
      </c>
      <c r="BR11" t="s">
        <v>84</v>
      </c>
      <c r="BS11" s="3">
        <v>45873</v>
      </c>
      <c r="BT11" s="4">
        <v>0.40555555555555556</v>
      </c>
      <c r="BU11" t="s">
        <v>141</v>
      </c>
      <c r="BV11" t="s">
        <v>86</v>
      </c>
      <c r="BY11">
        <v>15211.68</v>
      </c>
      <c r="BZ11" t="s">
        <v>102</v>
      </c>
      <c r="CA11" t="s">
        <v>142</v>
      </c>
      <c r="CC11" t="s">
        <v>138</v>
      </c>
      <c r="CD11">
        <v>7130</v>
      </c>
      <c r="CE11" t="s">
        <v>143</v>
      </c>
      <c r="CF11" s="3">
        <v>45874</v>
      </c>
      <c r="CI11">
        <v>1</v>
      </c>
      <c r="CJ11">
        <v>1</v>
      </c>
      <c r="CK11">
        <v>24</v>
      </c>
      <c r="CL11" t="s">
        <v>90</v>
      </c>
    </row>
    <row r="12" spans="1:92" x14ac:dyDescent="0.3">
      <c r="A12" t="s">
        <v>72</v>
      </c>
      <c r="B12" t="s">
        <v>73</v>
      </c>
      <c r="C12" t="s">
        <v>74</v>
      </c>
      <c r="E12" t="str">
        <f>"GAB2027615"</f>
        <v>GAB2027615</v>
      </c>
      <c r="F12" s="3">
        <v>45870</v>
      </c>
      <c r="G12">
        <v>202605</v>
      </c>
      <c r="H12" t="s">
        <v>75</v>
      </c>
      <c r="I12" t="s">
        <v>76</v>
      </c>
      <c r="J12" t="s">
        <v>77</v>
      </c>
      <c r="K12" t="s">
        <v>78</v>
      </c>
      <c r="L12" t="s">
        <v>79</v>
      </c>
      <c r="M12" t="s">
        <v>80</v>
      </c>
      <c r="N12" t="s">
        <v>144</v>
      </c>
      <c r="O12" t="s">
        <v>100</v>
      </c>
      <c r="P12" t="str">
        <f>"INV-00038039 035082           "</f>
        <v xml:space="preserve">INV-00038039 035082           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28.24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1</v>
      </c>
      <c r="BI12">
        <v>0.7</v>
      </c>
      <c r="BJ12">
        <v>2.1</v>
      </c>
      <c r="BK12">
        <v>2.5</v>
      </c>
      <c r="BL12">
        <v>88.98</v>
      </c>
      <c r="BM12">
        <v>13.35</v>
      </c>
      <c r="BN12">
        <v>102.33</v>
      </c>
      <c r="BO12">
        <v>102.33</v>
      </c>
      <c r="BQ12" t="s">
        <v>135</v>
      </c>
      <c r="BR12" t="s">
        <v>84</v>
      </c>
      <c r="BS12" s="3">
        <v>45873</v>
      </c>
      <c r="BT12" s="4">
        <v>0.3840277777777778</v>
      </c>
      <c r="BU12" t="s">
        <v>145</v>
      </c>
      <c r="BV12" t="s">
        <v>86</v>
      </c>
      <c r="BY12">
        <v>10414.85</v>
      </c>
      <c r="BZ12" t="s">
        <v>102</v>
      </c>
      <c r="CA12" t="s">
        <v>146</v>
      </c>
      <c r="CC12" t="s">
        <v>80</v>
      </c>
      <c r="CD12" s="5" t="s">
        <v>147</v>
      </c>
      <c r="CE12" t="s">
        <v>109</v>
      </c>
      <c r="CF12" s="3">
        <v>45873</v>
      </c>
      <c r="CI12">
        <v>1</v>
      </c>
      <c r="CJ12">
        <v>1</v>
      </c>
      <c r="CK12">
        <v>21</v>
      </c>
      <c r="CL12" t="s">
        <v>90</v>
      </c>
    </row>
    <row r="13" spans="1:92" x14ac:dyDescent="0.3">
      <c r="A13" t="s">
        <v>72</v>
      </c>
      <c r="B13" t="s">
        <v>73</v>
      </c>
      <c r="C13" t="s">
        <v>74</v>
      </c>
      <c r="E13" t="str">
        <f>"GAB2027616"</f>
        <v>GAB2027616</v>
      </c>
      <c r="F13" s="3">
        <v>45870</v>
      </c>
      <c r="G13">
        <v>202605</v>
      </c>
      <c r="H13" t="s">
        <v>75</v>
      </c>
      <c r="I13" t="s">
        <v>76</v>
      </c>
      <c r="J13" t="s">
        <v>77</v>
      </c>
      <c r="K13" t="s">
        <v>78</v>
      </c>
      <c r="L13" t="s">
        <v>148</v>
      </c>
      <c r="M13" t="s">
        <v>149</v>
      </c>
      <c r="N13" t="s">
        <v>150</v>
      </c>
      <c r="O13" t="s">
        <v>100</v>
      </c>
      <c r="P13" t="str">
        <f>"INV-00119804 CT096404         "</f>
        <v xml:space="preserve">INV-00119804 CT096404         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468.56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3</v>
      </c>
      <c r="BI13">
        <v>13.2</v>
      </c>
      <c r="BJ13">
        <v>41.1</v>
      </c>
      <c r="BK13">
        <v>41.5</v>
      </c>
      <c r="BL13">
        <v>1476.22</v>
      </c>
      <c r="BM13">
        <v>221.43</v>
      </c>
      <c r="BN13">
        <v>1697.65</v>
      </c>
      <c r="BO13">
        <v>1697.65</v>
      </c>
      <c r="BR13" t="s">
        <v>84</v>
      </c>
      <c r="BS13" s="3">
        <v>45873</v>
      </c>
      <c r="BT13" s="4">
        <v>0.60416666666666663</v>
      </c>
      <c r="BU13" t="s">
        <v>151</v>
      </c>
      <c r="BV13" t="s">
        <v>86</v>
      </c>
      <c r="BY13">
        <v>133678.13</v>
      </c>
      <c r="BZ13" t="s">
        <v>102</v>
      </c>
      <c r="CC13" t="s">
        <v>149</v>
      </c>
      <c r="CD13">
        <v>6001</v>
      </c>
      <c r="CE13" t="s">
        <v>152</v>
      </c>
      <c r="CF13" s="3">
        <v>45874</v>
      </c>
      <c r="CI13">
        <v>2</v>
      </c>
      <c r="CJ13">
        <v>1</v>
      </c>
      <c r="CK13">
        <v>21</v>
      </c>
      <c r="CL13" t="s">
        <v>90</v>
      </c>
    </row>
    <row r="14" spans="1:92" x14ac:dyDescent="0.3">
      <c r="A14" t="s">
        <v>72</v>
      </c>
      <c r="B14" t="s">
        <v>73</v>
      </c>
      <c r="C14" t="s">
        <v>74</v>
      </c>
      <c r="E14" t="str">
        <f>"GAB2027617"</f>
        <v>GAB2027617</v>
      </c>
      <c r="F14" s="3">
        <v>45870</v>
      </c>
      <c r="G14">
        <v>202605</v>
      </c>
      <c r="H14" t="s">
        <v>75</v>
      </c>
      <c r="I14" t="s">
        <v>76</v>
      </c>
      <c r="J14" t="s">
        <v>77</v>
      </c>
      <c r="K14" t="s">
        <v>78</v>
      </c>
      <c r="L14" t="s">
        <v>75</v>
      </c>
      <c r="M14" t="s">
        <v>76</v>
      </c>
      <c r="N14" t="s">
        <v>153</v>
      </c>
      <c r="O14" t="s">
        <v>100</v>
      </c>
      <c r="P14" t="str">
        <f>"INV-00119805 CT096401         "</f>
        <v xml:space="preserve">INV-00119805 CT096401         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17.649999999999999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1</v>
      </c>
      <c r="BI14">
        <v>0.9</v>
      </c>
      <c r="BJ14">
        <v>2.8</v>
      </c>
      <c r="BK14">
        <v>3</v>
      </c>
      <c r="BL14">
        <v>55.61</v>
      </c>
      <c r="BM14">
        <v>8.34</v>
      </c>
      <c r="BN14">
        <v>63.95</v>
      </c>
      <c r="BO14">
        <v>63.95</v>
      </c>
      <c r="BQ14" t="s">
        <v>154</v>
      </c>
      <c r="BR14" t="s">
        <v>84</v>
      </c>
      <c r="BS14" s="3">
        <v>45874</v>
      </c>
      <c r="BT14" s="4">
        <v>0.40833333333333333</v>
      </c>
      <c r="BU14" t="s">
        <v>155</v>
      </c>
      <c r="BV14" t="s">
        <v>90</v>
      </c>
      <c r="BW14" t="s">
        <v>156</v>
      </c>
      <c r="BX14" t="s">
        <v>157</v>
      </c>
      <c r="BY14">
        <v>14226.6</v>
      </c>
      <c r="BZ14" t="s">
        <v>102</v>
      </c>
      <c r="CA14" t="s">
        <v>158</v>
      </c>
      <c r="CC14" t="s">
        <v>76</v>
      </c>
      <c r="CD14">
        <v>7800</v>
      </c>
      <c r="CE14" t="s">
        <v>104</v>
      </c>
      <c r="CF14" s="3">
        <v>45875</v>
      </c>
      <c r="CI14">
        <v>1</v>
      </c>
      <c r="CJ14">
        <v>2</v>
      </c>
      <c r="CK14">
        <v>22</v>
      </c>
      <c r="CL14" t="s">
        <v>90</v>
      </c>
    </row>
    <row r="15" spans="1:92" x14ac:dyDescent="0.3">
      <c r="A15" t="s">
        <v>72</v>
      </c>
      <c r="B15" t="s">
        <v>73</v>
      </c>
      <c r="C15" t="s">
        <v>74</v>
      </c>
      <c r="E15" t="str">
        <f>"GAB2027620"</f>
        <v>GAB2027620</v>
      </c>
      <c r="F15" s="3">
        <v>45870</v>
      </c>
      <c r="G15">
        <v>202605</v>
      </c>
      <c r="H15" t="s">
        <v>75</v>
      </c>
      <c r="I15" t="s">
        <v>76</v>
      </c>
      <c r="J15" t="s">
        <v>77</v>
      </c>
      <c r="K15" t="s">
        <v>78</v>
      </c>
      <c r="L15" t="s">
        <v>159</v>
      </c>
      <c r="M15" t="s">
        <v>159</v>
      </c>
      <c r="N15" t="s">
        <v>160</v>
      </c>
      <c r="O15" t="s">
        <v>100</v>
      </c>
      <c r="P15" t="str">
        <f>"INV-00119820 CT096421         "</f>
        <v xml:space="preserve">INV-00119820 CT096421         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31.78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1</v>
      </c>
      <c r="BI15">
        <v>1</v>
      </c>
      <c r="BJ15">
        <v>1.7</v>
      </c>
      <c r="BK15">
        <v>2</v>
      </c>
      <c r="BL15">
        <v>100.13</v>
      </c>
      <c r="BM15">
        <v>15.02</v>
      </c>
      <c r="BN15">
        <v>115.15</v>
      </c>
      <c r="BO15">
        <v>115.15</v>
      </c>
      <c r="BQ15" t="s">
        <v>161</v>
      </c>
      <c r="BR15" t="s">
        <v>84</v>
      </c>
      <c r="BS15" s="3">
        <v>45874</v>
      </c>
      <c r="BT15" s="4">
        <v>0.54861111111111116</v>
      </c>
      <c r="BU15" t="s">
        <v>162</v>
      </c>
      <c r="BV15" t="s">
        <v>90</v>
      </c>
      <c r="BW15" t="s">
        <v>156</v>
      </c>
      <c r="BX15" t="s">
        <v>163</v>
      </c>
      <c r="BY15">
        <v>8642.4599999999991</v>
      </c>
      <c r="BZ15" t="s">
        <v>102</v>
      </c>
      <c r="CC15" t="s">
        <v>159</v>
      </c>
      <c r="CD15">
        <v>7646</v>
      </c>
      <c r="CE15" t="s">
        <v>164</v>
      </c>
      <c r="CF15" s="3">
        <v>45875</v>
      </c>
      <c r="CI15">
        <v>1</v>
      </c>
      <c r="CJ15">
        <v>2</v>
      </c>
      <c r="CK15">
        <v>24</v>
      </c>
      <c r="CL15" t="s">
        <v>90</v>
      </c>
    </row>
    <row r="16" spans="1:92" x14ac:dyDescent="0.3">
      <c r="A16" t="s">
        <v>72</v>
      </c>
      <c r="B16" t="s">
        <v>73</v>
      </c>
      <c r="C16" t="s">
        <v>74</v>
      </c>
      <c r="E16" t="str">
        <f>"GAB2027622"</f>
        <v>GAB2027622</v>
      </c>
      <c r="F16" s="3">
        <v>45873</v>
      </c>
      <c r="G16">
        <v>202605</v>
      </c>
      <c r="H16" t="s">
        <v>75</v>
      </c>
      <c r="I16" t="s">
        <v>76</v>
      </c>
      <c r="J16" t="s">
        <v>77</v>
      </c>
      <c r="K16" t="s">
        <v>78</v>
      </c>
      <c r="L16" t="s">
        <v>165</v>
      </c>
      <c r="M16" t="s">
        <v>166</v>
      </c>
      <c r="N16" t="s">
        <v>167</v>
      </c>
      <c r="O16" t="s">
        <v>82</v>
      </c>
      <c r="P16" t="str">
        <f>"INV-00038064 00038078 028805 0"</f>
        <v>INV-00038064 00038078 028805 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5.87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137.19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2</v>
      </c>
      <c r="BI16">
        <v>16.8</v>
      </c>
      <c r="BJ16">
        <v>38.6</v>
      </c>
      <c r="BK16">
        <v>39</v>
      </c>
      <c r="BL16">
        <v>438.09</v>
      </c>
      <c r="BM16">
        <v>65.709999999999994</v>
      </c>
      <c r="BN16">
        <v>503.8</v>
      </c>
      <c r="BO16">
        <v>503.8</v>
      </c>
      <c r="BQ16" t="s">
        <v>168</v>
      </c>
      <c r="BR16" t="s">
        <v>84</v>
      </c>
      <c r="BS16" s="3">
        <v>45876</v>
      </c>
      <c r="BT16" s="4">
        <v>0.65694444444444444</v>
      </c>
      <c r="BU16" t="s">
        <v>169</v>
      </c>
      <c r="BV16" t="s">
        <v>86</v>
      </c>
      <c r="BY16">
        <v>193024.5</v>
      </c>
      <c r="CA16" t="s">
        <v>170</v>
      </c>
      <c r="CC16" t="s">
        <v>166</v>
      </c>
      <c r="CD16">
        <v>2745</v>
      </c>
      <c r="CE16" t="s">
        <v>171</v>
      </c>
      <c r="CF16" s="3">
        <v>45877</v>
      </c>
      <c r="CI16">
        <v>2</v>
      </c>
      <c r="CJ16">
        <v>3</v>
      </c>
      <c r="CK16">
        <v>43</v>
      </c>
      <c r="CL16" t="s">
        <v>90</v>
      </c>
    </row>
    <row r="17" spans="1:90" x14ac:dyDescent="0.3">
      <c r="A17" t="s">
        <v>72</v>
      </c>
      <c r="B17" t="s">
        <v>73</v>
      </c>
      <c r="C17" t="s">
        <v>74</v>
      </c>
      <c r="E17" t="str">
        <f>"GAB2027626"</f>
        <v>GAB2027626</v>
      </c>
      <c r="F17" s="3">
        <v>45873</v>
      </c>
      <c r="G17">
        <v>202605</v>
      </c>
      <c r="H17" t="s">
        <v>75</v>
      </c>
      <c r="I17" t="s">
        <v>76</v>
      </c>
      <c r="J17" t="s">
        <v>77</v>
      </c>
      <c r="K17" t="s">
        <v>78</v>
      </c>
      <c r="L17" t="s">
        <v>172</v>
      </c>
      <c r="M17" t="s">
        <v>173</v>
      </c>
      <c r="N17" t="s">
        <v>174</v>
      </c>
      <c r="O17" t="s">
        <v>82</v>
      </c>
      <c r="P17" t="str">
        <f>"INV-00038092 035118           "</f>
        <v xml:space="preserve">INV-00038092 035118           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5.87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48.26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1</v>
      </c>
      <c r="BI17">
        <v>7</v>
      </c>
      <c r="BJ17">
        <v>11.7</v>
      </c>
      <c r="BK17">
        <v>12</v>
      </c>
      <c r="BL17">
        <v>157.91999999999999</v>
      </c>
      <c r="BM17">
        <v>23.69</v>
      </c>
      <c r="BN17">
        <v>181.61</v>
      </c>
      <c r="BO17">
        <v>181.61</v>
      </c>
      <c r="BQ17" t="s">
        <v>175</v>
      </c>
      <c r="BR17" t="s">
        <v>84</v>
      </c>
      <c r="BS17" t="s">
        <v>176</v>
      </c>
      <c r="BY17">
        <v>58311</v>
      </c>
      <c r="CC17" t="s">
        <v>173</v>
      </c>
      <c r="CD17">
        <v>6850</v>
      </c>
      <c r="CE17" t="s">
        <v>171</v>
      </c>
      <c r="CI17">
        <v>0</v>
      </c>
      <c r="CJ17">
        <v>0</v>
      </c>
      <c r="CK17">
        <v>44</v>
      </c>
      <c r="CL17" t="s">
        <v>90</v>
      </c>
    </row>
    <row r="18" spans="1:90" x14ac:dyDescent="0.3">
      <c r="A18" t="s">
        <v>72</v>
      </c>
      <c r="B18" t="s">
        <v>73</v>
      </c>
      <c r="C18" t="s">
        <v>74</v>
      </c>
      <c r="E18" t="str">
        <f>"GAB2027627"</f>
        <v>GAB2027627</v>
      </c>
      <c r="F18" s="3">
        <v>45873</v>
      </c>
      <c r="G18">
        <v>202605</v>
      </c>
      <c r="H18" t="s">
        <v>75</v>
      </c>
      <c r="I18" t="s">
        <v>76</v>
      </c>
      <c r="J18" t="s">
        <v>77</v>
      </c>
      <c r="K18" t="s">
        <v>78</v>
      </c>
      <c r="L18" t="s">
        <v>177</v>
      </c>
      <c r="M18" t="s">
        <v>178</v>
      </c>
      <c r="N18" t="s">
        <v>179</v>
      </c>
      <c r="O18" t="s">
        <v>82</v>
      </c>
      <c r="P18" t="str">
        <f>"INV-00119753 CT096367         "</f>
        <v xml:space="preserve">INV-00119753 CT096367         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5.87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61.64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1</v>
      </c>
      <c r="BI18">
        <v>6</v>
      </c>
      <c r="BJ18">
        <v>11.7</v>
      </c>
      <c r="BK18">
        <v>12</v>
      </c>
      <c r="BL18">
        <v>200.06</v>
      </c>
      <c r="BM18">
        <v>30.01</v>
      </c>
      <c r="BN18">
        <v>230.07</v>
      </c>
      <c r="BO18">
        <v>230.07</v>
      </c>
      <c r="BQ18" t="s">
        <v>180</v>
      </c>
      <c r="BR18" t="s">
        <v>84</v>
      </c>
      <c r="BS18" s="3">
        <v>45880</v>
      </c>
      <c r="BT18" s="4">
        <v>0.41666666666666669</v>
      </c>
      <c r="BU18" t="s">
        <v>181</v>
      </c>
      <c r="BV18" t="s">
        <v>90</v>
      </c>
      <c r="BW18" t="s">
        <v>182</v>
      </c>
      <c r="BX18" t="s">
        <v>183</v>
      </c>
      <c r="BY18">
        <v>58311</v>
      </c>
      <c r="CC18" t="s">
        <v>178</v>
      </c>
      <c r="CD18">
        <v>1050</v>
      </c>
      <c r="CE18" t="s">
        <v>171</v>
      </c>
      <c r="CF18" s="3">
        <v>45881</v>
      </c>
      <c r="CI18">
        <v>2</v>
      </c>
      <c r="CJ18">
        <v>5</v>
      </c>
      <c r="CK18">
        <v>43</v>
      </c>
      <c r="CL18" t="s">
        <v>90</v>
      </c>
    </row>
    <row r="19" spans="1:90" x14ac:dyDescent="0.3">
      <c r="A19" t="s">
        <v>72</v>
      </c>
      <c r="B19" t="s">
        <v>73</v>
      </c>
      <c r="C19" t="s">
        <v>74</v>
      </c>
      <c r="E19" t="str">
        <f>"GAB2027629"</f>
        <v>GAB2027629</v>
      </c>
      <c r="F19" s="3">
        <v>45873</v>
      </c>
      <c r="G19">
        <v>202605</v>
      </c>
      <c r="H19" t="s">
        <v>75</v>
      </c>
      <c r="I19" t="s">
        <v>76</v>
      </c>
      <c r="J19" t="s">
        <v>77</v>
      </c>
      <c r="K19" t="s">
        <v>78</v>
      </c>
      <c r="L19" t="s">
        <v>184</v>
      </c>
      <c r="M19" t="s">
        <v>185</v>
      </c>
      <c r="N19" t="s">
        <v>186</v>
      </c>
      <c r="O19" t="s">
        <v>82</v>
      </c>
      <c r="P19" t="str">
        <f>"INV-00119853 CT096400         "</f>
        <v xml:space="preserve">INV-00119853 CT096400         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5.87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43.7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1</v>
      </c>
      <c r="BI19">
        <v>7.6</v>
      </c>
      <c r="BJ19">
        <v>8.6</v>
      </c>
      <c r="BK19">
        <v>9</v>
      </c>
      <c r="BL19">
        <v>143.55000000000001</v>
      </c>
      <c r="BM19">
        <v>21.53</v>
      </c>
      <c r="BN19">
        <v>165.08</v>
      </c>
      <c r="BO19">
        <v>165.08</v>
      </c>
      <c r="BQ19" t="s">
        <v>187</v>
      </c>
      <c r="BR19" t="s">
        <v>84</v>
      </c>
      <c r="BS19" s="3">
        <v>45875</v>
      </c>
      <c r="BT19" s="4">
        <v>0.6430555555555556</v>
      </c>
      <c r="BU19" t="s">
        <v>188</v>
      </c>
      <c r="BV19" t="s">
        <v>86</v>
      </c>
      <c r="BY19">
        <v>42908.94</v>
      </c>
      <c r="CA19" t="s">
        <v>189</v>
      </c>
      <c r="CC19" t="s">
        <v>185</v>
      </c>
      <c r="CD19">
        <v>1732</v>
      </c>
      <c r="CE19" t="s">
        <v>89</v>
      </c>
      <c r="CF19" s="3">
        <v>45875</v>
      </c>
      <c r="CI19">
        <v>2</v>
      </c>
      <c r="CJ19">
        <v>2</v>
      </c>
      <c r="CK19">
        <v>41</v>
      </c>
      <c r="CL19" t="s">
        <v>90</v>
      </c>
    </row>
    <row r="20" spans="1:90" x14ac:dyDescent="0.3">
      <c r="A20" t="s">
        <v>72</v>
      </c>
      <c r="B20" t="s">
        <v>73</v>
      </c>
      <c r="C20" t="s">
        <v>74</v>
      </c>
      <c r="E20" t="str">
        <f>"GAB2027637"</f>
        <v>GAB2027637</v>
      </c>
      <c r="F20" s="3">
        <v>45873</v>
      </c>
      <c r="G20">
        <v>202605</v>
      </c>
      <c r="H20" t="s">
        <v>75</v>
      </c>
      <c r="I20" t="s">
        <v>76</v>
      </c>
      <c r="J20" t="s">
        <v>77</v>
      </c>
      <c r="K20" t="s">
        <v>78</v>
      </c>
      <c r="L20" t="s">
        <v>190</v>
      </c>
      <c r="M20" t="s">
        <v>191</v>
      </c>
      <c r="N20" t="s">
        <v>192</v>
      </c>
      <c r="O20" t="s">
        <v>82</v>
      </c>
      <c r="P20" t="str">
        <f>"INV-00119843 CT096432         "</f>
        <v xml:space="preserve">INV-00119843 CT096432         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5.87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123.09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3</v>
      </c>
      <c r="BI20">
        <v>25.7</v>
      </c>
      <c r="BJ20">
        <v>58.9</v>
      </c>
      <c r="BK20">
        <v>59</v>
      </c>
      <c r="BL20">
        <v>393.66</v>
      </c>
      <c r="BM20">
        <v>59.05</v>
      </c>
      <c r="BN20">
        <v>452.71</v>
      </c>
      <c r="BO20">
        <v>452.71</v>
      </c>
      <c r="BQ20" t="s">
        <v>193</v>
      </c>
      <c r="BR20" t="s">
        <v>84</v>
      </c>
      <c r="BS20" s="3">
        <v>45875</v>
      </c>
      <c r="BT20" s="4">
        <v>0.36666666666666664</v>
      </c>
      <c r="BU20" t="s">
        <v>194</v>
      </c>
      <c r="BV20" t="s">
        <v>86</v>
      </c>
      <c r="BY20">
        <v>294291.03000000003</v>
      </c>
      <c r="CA20" t="s">
        <v>195</v>
      </c>
      <c r="CC20" t="s">
        <v>191</v>
      </c>
      <c r="CD20" s="5" t="s">
        <v>196</v>
      </c>
      <c r="CE20" t="s">
        <v>171</v>
      </c>
      <c r="CF20" s="3">
        <v>45875</v>
      </c>
      <c r="CI20">
        <v>3</v>
      </c>
      <c r="CJ20">
        <v>2</v>
      </c>
      <c r="CK20">
        <v>41</v>
      </c>
      <c r="CL20" t="s">
        <v>90</v>
      </c>
    </row>
    <row r="21" spans="1:90" x14ac:dyDescent="0.3">
      <c r="A21" t="s">
        <v>72</v>
      </c>
      <c r="B21" t="s">
        <v>73</v>
      </c>
      <c r="C21" t="s">
        <v>74</v>
      </c>
      <c r="E21" t="str">
        <f>"GAB2027638"</f>
        <v>GAB2027638</v>
      </c>
      <c r="F21" s="3">
        <v>45873</v>
      </c>
      <c r="G21">
        <v>202605</v>
      </c>
      <c r="H21" t="s">
        <v>75</v>
      </c>
      <c r="I21" t="s">
        <v>76</v>
      </c>
      <c r="J21" t="s">
        <v>77</v>
      </c>
      <c r="K21" t="s">
        <v>78</v>
      </c>
      <c r="L21" t="s">
        <v>165</v>
      </c>
      <c r="M21" t="s">
        <v>166</v>
      </c>
      <c r="N21" t="s">
        <v>197</v>
      </c>
      <c r="O21" t="s">
        <v>82</v>
      </c>
      <c r="P21" t="str">
        <f>"INV-000404 000403 00401 00400 "</f>
        <v xml:space="preserve">INV-000404 000403 00401 00400 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5.87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168.67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6</v>
      </c>
      <c r="BI21">
        <v>20</v>
      </c>
      <c r="BJ21">
        <v>49</v>
      </c>
      <c r="BK21">
        <v>49</v>
      </c>
      <c r="BL21">
        <v>537.27</v>
      </c>
      <c r="BM21">
        <v>80.59</v>
      </c>
      <c r="BN21">
        <v>617.86</v>
      </c>
      <c r="BO21">
        <v>617.86</v>
      </c>
      <c r="BR21" t="s">
        <v>84</v>
      </c>
      <c r="BS21" s="3">
        <v>45888</v>
      </c>
      <c r="BT21" s="4">
        <v>0.70416666666666672</v>
      </c>
      <c r="BU21" t="s">
        <v>198</v>
      </c>
      <c r="BV21" t="s">
        <v>90</v>
      </c>
      <c r="BY21">
        <v>244791.34</v>
      </c>
      <c r="CA21" t="s">
        <v>199</v>
      </c>
      <c r="CC21" t="s">
        <v>166</v>
      </c>
      <c r="CD21">
        <v>2745</v>
      </c>
      <c r="CE21" t="s">
        <v>200</v>
      </c>
      <c r="CI21">
        <v>2</v>
      </c>
      <c r="CJ21">
        <v>11</v>
      </c>
      <c r="CK21">
        <v>43</v>
      </c>
      <c r="CL21" t="s">
        <v>90</v>
      </c>
    </row>
    <row r="22" spans="1:90" x14ac:dyDescent="0.3">
      <c r="A22" t="s">
        <v>72</v>
      </c>
      <c r="B22" t="s">
        <v>73</v>
      </c>
      <c r="C22" t="s">
        <v>74</v>
      </c>
      <c r="E22" t="str">
        <f>"GAB2027641"</f>
        <v>GAB2027641</v>
      </c>
      <c r="F22" s="3">
        <v>45873</v>
      </c>
      <c r="G22">
        <v>202605</v>
      </c>
      <c r="H22" t="s">
        <v>75</v>
      </c>
      <c r="I22" t="s">
        <v>76</v>
      </c>
      <c r="J22" t="s">
        <v>77</v>
      </c>
      <c r="K22" t="s">
        <v>78</v>
      </c>
      <c r="L22" t="s">
        <v>201</v>
      </c>
      <c r="M22" t="s">
        <v>202</v>
      </c>
      <c r="N22" t="s">
        <v>203</v>
      </c>
      <c r="O22" t="s">
        <v>82</v>
      </c>
      <c r="P22" t="str">
        <f>"INV-00119863 CT096293         "</f>
        <v xml:space="preserve">INV-00119863 CT096293         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5.87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61.64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1</v>
      </c>
      <c r="BI22">
        <v>4.9000000000000004</v>
      </c>
      <c r="BJ22">
        <v>12.6</v>
      </c>
      <c r="BK22">
        <v>13</v>
      </c>
      <c r="BL22">
        <v>200.06</v>
      </c>
      <c r="BM22">
        <v>30.01</v>
      </c>
      <c r="BN22">
        <v>230.07</v>
      </c>
      <c r="BO22">
        <v>230.07</v>
      </c>
      <c r="BQ22" t="s">
        <v>204</v>
      </c>
      <c r="BR22" t="s">
        <v>84</v>
      </c>
      <c r="BS22" s="3">
        <v>45876</v>
      </c>
      <c r="BT22" s="4">
        <v>0.51458333333333328</v>
      </c>
      <c r="BU22" t="s">
        <v>205</v>
      </c>
      <c r="BV22" t="s">
        <v>86</v>
      </c>
      <c r="BY22">
        <v>63231.21</v>
      </c>
      <c r="CA22" t="s">
        <v>206</v>
      </c>
      <c r="CC22" t="s">
        <v>202</v>
      </c>
      <c r="CD22" s="5" t="s">
        <v>207</v>
      </c>
      <c r="CE22" t="s">
        <v>171</v>
      </c>
      <c r="CF22" s="3">
        <v>45876</v>
      </c>
      <c r="CI22">
        <v>3</v>
      </c>
      <c r="CJ22">
        <v>3</v>
      </c>
      <c r="CK22">
        <v>43</v>
      </c>
      <c r="CL22" t="s">
        <v>90</v>
      </c>
    </row>
    <row r="23" spans="1:90" x14ac:dyDescent="0.3">
      <c r="A23" t="s">
        <v>72</v>
      </c>
      <c r="B23" t="s">
        <v>73</v>
      </c>
      <c r="C23" t="s">
        <v>74</v>
      </c>
      <c r="E23" t="str">
        <f>"GAB2027648"</f>
        <v>GAB2027648</v>
      </c>
      <c r="F23" s="3">
        <v>45873</v>
      </c>
      <c r="G23">
        <v>202605</v>
      </c>
      <c r="H23" t="s">
        <v>75</v>
      </c>
      <c r="I23" t="s">
        <v>76</v>
      </c>
      <c r="J23" t="s">
        <v>77</v>
      </c>
      <c r="K23" t="s">
        <v>78</v>
      </c>
      <c r="L23" t="s">
        <v>208</v>
      </c>
      <c r="M23" t="s">
        <v>209</v>
      </c>
      <c r="N23" t="s">
        <v>210</v>
      </c>
      <c r="O23" t="s">
        <v>82</v>
      </c>
      <c r="P23" t="str">
        <f>"INV-00119869 CT096440         "</f>
        <v xml:space="preserve">INV-00119869 CT096440         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5.87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61.64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1</v>
      </c>
      <c r="BI23">
        <v>2.2999999999999998</v>
      </c>
      <c r="BJ23">
        <v>6.3</v>
      </c>
      <c r="BK23">
        <v>7</v>
      </c>
      <c r="BL23">
        <v>200.06</v>
      </c>
      <c r="BM23">
        <v>30.01</v>
      </c>
      <c r="BN23">
        <v>230.07</v>
      </c>
      <c r="BO23">
        <v>230.07</v>
      </c>
      <c r="BQ23" t="s">
        <v>211</v>
      </c>
      <c r="BR23" t="s">
        <v>84</v>
      </c>
      <c r="BS23" s="3">
        <v>45875</v>
      </c>
      <c r="BT23" s="4">
        <v>0.48125000000000001</v>
      </c>
      <c r="BU23" t="s">
        <v>212</v>
      </c>
      <c r="BV23" t="s">
        <v>86</v>
      </c>
      <c r="BY23">
        <v>31333.25</v>
      </c>
      <c r="CA23" t="s">
        <v>213</v>
      </c>
      <c r="CC23" t="s">
        <v>209</v>
      </c>
      <c r="CD23">
        <v>9459</v>
      </c>
      <c r="CE23" t="s">
        <v>171</v>
      </c>
      <c r="CF23" s="3">
        <v>45875</v>
      </c>
      <c r="CI23">
        <v>4</v>
      </c>
      <c r="CJ23">
        <v>2</v>
      </c>
      <c r="CK23">
        <v>43</v>
      </c>
      <c r="CL23" t="s">
        <v>90</v>
      </c>
    </row>
    <row r="24" spans="1:90" x14ac:dyDescent="0.3">
      <c r="A24" t="s">
        <v>72</v>
      </c>
      <c r="B24" t="s">
        <v>73</v>
      </c>
      <c r="C24" t="s">
        <v>74</v>
      </c>
      <c r="E24" t="str">
        <f>"GAB2027656"</f>
        <v>GAB2027656</v>
      </c>
      <c r="F24" s="3">
        <v>45873</v>
      </c>
      <c r="G24">
        <v>202605</v>
      </c>
      <c r="H24" t="s">
        <v>75</v>
      </c>
      <c r="I24" t="s">
        <v>76</v>
      </c>
      <c r="J24" t="s">
        <v>77</v>
      </c>
      <c r="K24" t="s">
        <v>78</v>
      </c>
      <c r="L24" t="s">
        <v>118</v>
      </c>
      <c r="M24" t="s">
        <v>119</v>
      </c>
      <c r="N24" t="s">
        <v>214</v>
      </c>
      <c r="O24" t="s">
        <v>82</v>
      </c>
      <c r="P24" t="str">
        <f>"INV-00038102 00038099 0038100 "</f>
        <v xml:space="preserve">INV-00038102 00038099 0038100 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5.87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52.72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2</v>
      </c>
      <c r="BI24">
        <v>8.5</v>
      </c>
      <c r="BJ24">
        <v>19.3</v>
      </c>
      <c r="BK24">
        <v>20</v>
      </c>
      <c r="BL24">
        <v>171.97</v>
      </c>
      <c r="BM24">
        <v>25.8</v>
      </c>
      <c r="BN24">
        <v>197.77</v>
      </c>
      <c r="BO24">
        <v>197.77</v>
      </c>
      <c r="BQ24" t="s">
        <v>168</v>
      </c>
      <c r="BR24" t="s">
        <v>84</v>
      </c>
      <c r="BS24" s="3">
        <v>45876</v>
      </c>
      <c r="BT24" s="4">
        <v>0.48541666666666666</v>
      </c>
      <c r="BU24" t="s">
        <v>215</v>
      </c>
      <c r="BV24" t="s">
        <v>86</v>
      </c>
      <c r="BY24">
        <v>96605.75</v>
      </c>
      <c r="CA24" t="s">
        <v>206</v>
      </c>
      <c r="CC24" t="s">
        <v>119</v>
      </c>
      <c r="CD24" s="5" t="s">
        <v>124</v>
      </c>
      <c r="CE24" t="s">
        <v>171</v>
      </c>
      <c r="CF24" s="3">
        <v>45876</v>
      </c>
      <c r="CI24">
        <v>3</v>
      </c>
      <c r="CJ24">
        <v>3</v>
      </c>
      <c r="CK24">
        <v>41</v>
      </c>
      <c r="CL24" t="s">
        <v>90</v>
      </c>
    </row>
    <row r="25" spans="1:90" x14ac:dyDescent="0.3">
      <c r="A25" t="s">
        <v>72</v>
      </c>
      <c r="B25" t="s">
        <v>73</v>
      </c>
      <c r="C25" t="s">
        <v>74</v>
      </c>
      <c r="E25" t="str">
        <f>"GAB2027623"</f>
        <v>GAB2027623</v>
      </c>
      <c r="F25" s="3">
        <v>45873</v>
      </c>
      <c r="G25">
        <v>202605</v>
      </c>
      <c r="H25" t="s">
        <v>75</v>
      </c>
      <c r="I25" t="s">
        <v>76</v>
      </c>
      <c r="J25" t="s">
        <v>77</v>
      </c>
      <c r="K25" t="s">
        <v>78</v>
      </c>
      <c r="L25" t="s">
        <v>216</v>
      </c>
      <c r="M25" t="s">
        <v>217</v>
      </c>
      <c r="N25" t="s">
        <v>218</v>
      </c>
      <c r="O25" t="s">
        <v>100</v>
      </c>
      <c r="P25" t="str">
        <f>"INV-00119836 CT096429         "</f>
        <v xml:space="preserve">INV-00119836 CT096429         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53.67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1</v>
      </c>
      <c r="BI25">
        <v>0.7</v>
      </c>
      <c r="BJ25">
        <v>2.4</v>
      </c>
      <c r="BK25">
        <v>2.5</v>
      </c>
      <c r="BL25">
        <v>169.09</v>
      </c>
      <c r="BM25">
        <v>25.36</v>
      </c>
      <c r="BN25">
        <v>194.45</v>
      </c>
      <c r="BO25">
        <v>194.45</v>
      </c>
      <c r="BQ25" t="s">
        <v>219</v>
      </c>
      <c r="BR25" t="s">
        <v>84</v>
      </c>
      <c r="BS25" s="3">
        <v>45874</v>
      </c>
      <c r="BT25" s="4">
        <v>0.55000000000000004</v>
      </c>
      <c r="BU25" t="s">
        <v>220</v>
      </c>
      <c r="BV25" t="s">
        <v>86</v>
      </c>
      <c r="BY25">
        <v>11759.67</v>
      </c>
      <c r="BZ25" t="s">
        <v>102</v>
      </c>
      <c r="CA25" t="s">
        <v>221</v>
      </c>
      <c r="CC25" t="s">
        <v>217</v>
      </c>
      <c r="CD25" s="5" t="s">
        <v>222</v>
      </c>
      <c r="CE25" t="s">
        <v>223</v>
      </c>
      <c r="CF25" s="3">
        <v>45874</v>
      </c>
      <c r="CI25">
        <v>3</v>
      </c>
      <c r="CJ25">
        <v>1</v>
      </c>
      <c r="CK25">
        <v>23</v>
      </c>
      <c r="CL25" t="s">
        <v>90</v>
      </c>
    </row>
    <row r="26" spans="1:90" x14ac:dyDescent="0.3">
      <c r="A26" t="s">
        <v>72</v>
      </c>
      <c r="B26" t="s">
        <v>73</v>
      </c>
      <c r="C26" t="s">
        <v>74</v>
      </c>
      <c r="E26" t="str">
        <f>"GAB2027624"</f>
        <v>GAB2027624</v>
      </c>
      <c r="F26" s="3">
        <v>45873</v>
      </c>
      <c r="G26">
        <v>202605</v>
      </c>
      <c r="H26" t="s">
        <v>75</v>
      </c>
      <c r="I26" t="s">
        <v>76</v>
      </c>
      <c r="J26" t="s">
        <v>77</v>
      </c>
      <c r="K26" t="s">
        <v>78</v>
      </c>
      <c r="L26" t="s">
        <v>75</v>
      </c>
      <c r="M26" t="s">
        <v>76</v>
      </c>
      <c r="N26" t="s">
        <v>224</v>
      </c>
      <c r="O26" t="s">
        <v>100</v>
      </c>
      <c r="P26" t="str">
        <f>"INV-00119835 CT096426         "</f>
        <v xml:space="preserve">INV-00119835 CT096426         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17.649999999999999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1</v>
      </c>
      <c r="BI26">
        <v>1</v>
      </c>
      <c r="BJ26">
        <v>3.8</v>
      </c>
      <c r="BK26">
        <v>4</v>
      </c>
      <c r="BL26">
        <v>55.61</v>
      </c>
      <c r="BM26">
        <v>8.34</v>
      </c>
      <c r="BN26">
        <v>63.95</v>
      </c>
      <c r="BO26">
        <v>63.95</v>
      </c>
      <c r="BQ26" t="s">
        <v>225</v>
      </c>
      <c r="BR26" t="s">
        <v>84</v>
      </c>
      <c r="BS26" t="s">
        <v>176</v>
      </c>
      <c r="BY26">
        <v>19200</v>
      </c>
      <c r="CC26" t="s">
        <v>76</v>
      </c>
      <c r="CD26">
        <v>7700</v>
      </c>
      <c r="CE26" t="s">
        <v>143</v>
      </c>
      <c r="CI26">
        <v>1</v>
      </c>
      <c r="CJ26" t="s">
        <v>176</v>
      </c>
      <c r="CK26">
        <v>22</v>
      </c>
      <c r="CL26" t="s">
        <v>90</v>
      </c>
    </row>
    <row r="27" spans="1:90" x14ac:dyDescent="0.3">
      <c r="A27" t="s">
        <v>72</v>
      </c>
      <c r="B27" t="s">
        <v>73</v>
      </c>
      <c r="C27" t="s">
        <v>74</v>
      </c>
      <c r="E27" t="str">
        <f>"GAB2027625"</f>
        <v>GAB2027625</v>
      </c>
      <c r="F27" s="3">
        <v>45873</v>
      </c>
      <c r="G27">
        <v>202605</v>
      </c>
      <c r="H27" t="s">
        <v>75</v>
      </c>
      <c r="I27" t="s">
        <v>76</v>
      </c>
      <c r="J27" t="s">
        <v>77</v>
      </c>
      <c r="K27" t="s">
        <v>78</v>
      </c>
      <c r="L27" t="s">
        <v>226</v>
      </c>
      <c r="M27" t="s">
        <v>227</v>
      </c>
      <c r="N27" t="s">
        <v>228</v>
      </c>
      <c r="O27" t="s">
        <v>100</v>
      </c>
      <c r="P27" t="str">
        <f>"INV-00119830 CT096423         "</f>
        <v xml:space="preserve">INV-00119830 CT096423         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22.6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1</v>
      </c>
      <c r="BI27">
        <v>1.2</v>
      </c>
      <c r="BJ27">
        <v>1.7</v>
      </c>
      <c r="BK27">
        <v>2</v>
      </c>
      <c r="BL27">
        <v>71.2</v>
      </c>
      <c r="BM27">
        <v>10.68</v>
      </c>
      <c r="BN27">
        <v>81.88</v>
      </c>
      <c r="BO27">
        <v>81.88</v>
      </c>
      <c r="BQ27" t="s">
        <v>229</v>
      </c>
      <c r="BR27" t="s">
        <v>84</v>
      </c>
      <c r="BS27" s="3">
        <v>45875</v>
      </c>
      <c r="BT27" s="4">
        <v>0.4375</v>
      </c>
      <c r="BU27" t="s">
        <v>230</v>
      </c>
      <c r="BV27" t="s">
        <v>86</v>
      </c>
      <c r="BY27">
        <v>8454.9500000000007</v>
      </c>
      <c r="BZ27" t="s">
        <v>102</v>
      </c>
      <c r="CA27" t="s">
        <v>231</v>
      </c>
      <c r="CC27" t="s">
        <v>227</v>
      </c>
      <c r="CD27">
        <v>3610</v>
      </c>
      <c r="CE27" t="s">
        <v>232</v>
      </c>
      <c r="CF27" s="3">
        <v>45875</v>
      </c>
      <c r="CI27">
        <v>2</v>
      </c>
      <c r="CJ27">
        <v>2</v>
      </c>
      <c r="CK27">
        <v>21</v>
      </c>
      <c r="CL27" t="s">
        <v>90</v>
      </c>
    </row>
    <row r="28" spans="1:90" x14ac:dyDescent="0.3">
      <c r="A28" t="s">
        <v>72</v>
      </c>
      <c r="B28" t="s">
        <v>73</v>
      </c>
      <c r="C28" t="s">
        <v>74</v>
      </c>
      <c r="E28" t="str">
        <f>"GAB2027628"</f>
        <v>GAB2027628</v>
      </c>
      <c r="F28" s="3">
        <v>45873</v>
      </c>
      <c r="G28">
        <v>202605</v>
      </c>
      <c r="H28" t="s">
        <v>75</v>
      </c>
      <c r="I28" t="s">
        <v>76</v>
      </c>
      <c r="J28" t="s">
        <v>77</v>
      </c>
      <c r="K28" t="s">
        <v>78</v>
      </c>
      <c r="L28" t="s">
        <v>79</v>
      </c>
      <c r="M28" t="s">
        <v>80</v>
      </c>
      <c r="N28" t="s">
        <v>233</v>
      </c>
      <c r="O28" t="s">
        <v>100</v>
      </c>
      <c r="P28" t="str">
        <f>"ATT:BARNARD                   "</f>
        <v xml:space="preserve">ATT:BARNARD                   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33.89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1</v>
      </c>
      <c r="BI28">
        <v>0.9</v>
      </c>
      <c r="BJ28">
        <v>2.6</v>
      </c>
      <c r="BK28">
        <v>3</v>
      </c>
      <c r="BL28">
        <v>106.77</v>
      </c>
      <c r="BM28">
        <v>16.02</v>
      </c>
      <c r="BN28">
        <v>122.79</v>
      </c>
      <c r="BO28">
        <v>122.79</v>
      </c>
      <c r="BQ28" t="s">
        <v>234</v>
      </c>
      <c r="BR28" t="s">
        <v>84</v>
      </c>
      <c r="BS28" s="3">
        <v>45874</v>
      </c>
      <c r="BT28" s="4">
        <v>0.40902777777777777</v>
      </c>
      <c r="BU28" t="s">
        <v>235</v>
      </c>
      <c r="BV28" t="s">
        <v>86</v>
      </c>
      <c r="BY28">
        <v>13068</v>
      </c>
      <c r="BZ28" t="s">
        <v>102</v>
      </c>
      <c r="CA28" t="s">
        <v>236</v>
      </c>
      <c r="CC28" t="s">
        <v>80</v>
      </c>
      <c r="CD28" s="5" t="s">
        <v>237</v>
      </c>
      <c r="CE28" t="s">
        <v>238</v>
      </c>
      <c r="CF28" s="3">
        <v>45874</v>
      </c>
      <c r="CI28">
        <v>1</v>
      </c>
      <c r="CJ28">
        <v>1</v>
      </c>
      <c r="CK28">
        <v>21</v>
      </c>
      <c r="CL28" t="s">
        <v>90</v>
      </c>
    </row>
    <row r="29" spans="1:90" x14ac:dyDescent="0.3">
      <c r="A29" t="s">
        <v>72</v>
      </c>
      <c r="B29" t="s">
        <v>73</v>
      </c>
      <c r="C29" t="s">
        <v>74</v>
      </c>
      <c r="E29" t="str">
        <f>"GAB2027630"</f>
        <v>GAB2027630</v>
      </c>
      <c r="F29" s="3">
        <v>45873</v>
      </c>
      <c r="G29">
        <v>202605</v>
      </c>
      <c r="H29" t="s">
        <v>75</v>
      </c>
      <c r="I29" t="s">
        <v>76</v>
      </c>
      <c r="J29" t="s">
        <v>77</v>
      </c>
      <c r="K29" t="s">
        <v>78</v>
      </c>
      <c r="L29" t="s">
        <v>75</v>
      </c>
      <c r="M29" t="s">
        <v>76</v>
      </c>
      <c r="N29" t="s">
        <v>239</v>
      </c>
      <c r="O29" t="s">
        <v>100</v>
      </c>
      <c r="P29" t="str">
        <f>"INV-00038107 034660           "</f>
        <v xml:space="preserve">INV-00038107 034660           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17.649999999999999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1</v>
      </c>
      <c r="BI29">
        <v>1</v>
      </c>
      <c r="BJ29">
        <v>2.4</v>
      </c>
      <c r="BK29">
        <v>3</v>
      </c>
      <c r="BL29">
        <v>55.61</v>
      </c>
      <c r="BM29">
        <v>8.34</v>
      </c>
      <c r="BN29">
        <v>63.95</v>
      </c>
      <c r="BO29">
        <v>63.95</v>
      </c>
      <c r="BQ29" t="s">
        <v>175</v>
      </c>
      <c r="BR29" t="s">
        <v>84</v>
      </c>
      <c r="BS29" t="s">
        <v>176</v>
      </c>
      <c r="BY29">
        <v>12000</v>
      </c>
      <c r="CC29" t="s">
        <v>76</v>
      </c>
      <c r="CD29">
        <v>7975</v>
      </c>
      <c r="CE29" t="s">
        <v>109</v>
      </c>
      <c r="CI29">
        <v>1</v>
      </c>
      <c r="CJ29" t="s">
        <v>176</v>
      </c>
      <c r="CK29">
        <v>22</v>
      </c>
      <c r="CL29" t="s">
        <v>90</v>
      </c>
    </row>
    <row r="30" spans="1:90" x14ac:dyDescent="0.3">
      <c r="A30" t="s">
        <v>72</v>
      </c>
      <c r="B30" t="s">
        <v>73</v>
      </c>
      <c r="C30" t="s">
        <v>74</v>
      </c>
      <c r="E30" t="str">
        <f>"GAB2027631"</f>
        <v>GAB2027631</v>
      </c>
      <c r="F30" s="3">
        <v>45873</v>
      </c>
      <c r="G30">
        <v>202605</v>
      </c>
      <c r="H30" t="s">
        <v>75</v>
      </c>
      <c r="I30" t="s">
        <v>76</v>
      </c>
      <c r="J30" t="s">
        <v>77</v>
      </c>
      <c r="K30" t="s">
        <v>78</v>
      </c>
      <c r="L30" t="s">
        <v>184</v>
      </c>
      <c r="M30" t="s">
        <v>185</v>
      </c>
      <c r="N30" t="s">
        <v>240</v>
      </c>
      <c r="O30" t="s">
        <v>100</v>
      </c>
      <c r="P30" t="str">
        <f>"INV-00119848 CT096427         "</f>
        <v xml:space="preserve">INV-00119848 CT096427         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28.24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1</v>
      </c>
      <c r="BI30">
        <v>0.8</v>
      </c>
      <c r="BJ30">
        <v>2.1</v>
      </c>
      <c r="BK30">
        <v>2.5</v>
      </c>
      <c r="BL30">
        <v>88.98</v>
      </c>
      <c r="BM30">
        <v>13.35</v>
      </c>
      <c r="BN30">
        <v>102.33</v>
      </c>
      <c r="BO30">
        <v>102.33</v>
      </c>
      <c r="BR30" t="s">
        <v>84</v>
      </c>
      <c r="BS30" s="3">
        <v>45874</v>
      </c>
      <c r="BT30" s="4">
        <v>0.34027777777777779</v>
      </c>
      <c r="BU30" t="s">
        <v>241</v>
      </c>
      <c r="BV30" t="s">
        <v>86</v>
      </c>
      <c r="BY30">
        <v>10716.4</v>
      </c>
      <c r="BZ30" t="s">
        <v>102</v>
      </c>
      <c r="CA30" t="s">
        <v>242</v>
      </c>
      <c r="CC30" t="s">
        <v>185</v>
      </c>
      <c r="CD30">
        <v>1724</v>
      </c>
      <c r="CE30" t="s">
        <v>109</v>
      </c>
      <c r="CF30" s="3">
        <v>45874</v>
      </c>
      <c r="CI30">
        <v>1</v>
      </c>
      <c r="CJ30">
        <v>1</v>
      </c>
      <c r="CK30">
        <v>21</v>
      </c>
      <c r="CL30" t="s">
        <v>90</v>
      </c>
    </row>
    <row r="31" spans="1:90" x14ac:dyDescent="0.3">
      <c r="A31" t="s">
        <v>72</v>
      </c>
      <c r="B31" t="s">
        <v>73</v>
      </c>
      <c r="C31" t="s">
        <v>74</v>
      </c>
      <c r="E31" t="str">
        <f>"GAB2027632"</f>
        <v>GAB2027632</v>
      </c>
      <c r="F31" s="3">
        <v>45873</v>
      </c>
      <c r="G31">
        <v>202605</v>
      </c>
      <c r="H31" t="s">
        <v>75</v>
      </c>
      <c r="I31" t="s">
        <v>76</v>
      </c>
      <c r="J31" t="s">
        <v>77</v>
      </c>
      <c r="K31" t="s">
        <v>78</v>
      </c>
      <c r="L31" t="s">
        <v>75</v>
      </c>
      <c r="M31" t="s">
        <v>76</v>
      </c>
      <c r="N31" t="s">
        <v>243</v>
      </c>
      <c r="O31" t="s">
        <v>100</v>
      </c>
      <c r="P31" t="str">
        <f>"INV-00119846 CT096434         "</f>
        <v xml:space="preserve">INV-00119846 CT096434         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17.649999999999999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1</v>
      </c>
      <c r="BI31">
        <v>0.7</v>
      </c>
      <c r="BJ31">
        <v>1.5</v>
      </c>
      <c r="BK31">
        <v>2</v>
      </c>
      <c r="BL31">
        <v>55.61</v>
      </c>
      <c r="BM31">
        <v>8.34</v>
      </c>
      <c r="BN31">
        <v>63.95</v>
      </c>
      <c r="BO31">
        <v>63.95</v>
      </c>
      <c r="BQ31" t="s">
        <v>244</v>
      </c>
      <c r="BR31" t="s">
        <v>84</v>
      </c>
      <c r="BS31" s="3">
        <v>45874</v>
      </c>
      <c r="BT31" s="4">
        <v>0.40763888888888888</v>
      </c>
      <c r="BU31" t="s">
        <v>245</v>
      </c>
      <c r="BV31" t="s">
        <v>86</v>
      </c>
      <c r="BY31">
        <v>7568.08</v>
      </c>
      <c r="BZ31" t="s">
        <v>102</v>
      </c>
      <c r="CA31" t="s">
        <v>158</v>
      </c>
      <c r="CC31" t="s">
        <v>76</v>
      </c>
      <c r="CD31">
        <v>7800</v>
      </c>
      <c r="CE31" t="s">
        <v>116</v>
      </c>
      <c r="CF31" s="3">
        <v>45875</v>
      </c>
      <c r="CI31">
        <v>1</v>
      </c>
      <c r="CJ31">
        <v>1</v>
      </c>
      <c r="CK31">
        <v>22</v>
      </c>
      <c r="CL31" t="s">
        <v>90</v>
      </c>
    </row>
    <row r="32" spans="1:90" x14ac:dyDescent="0.3">
      <c r="A32" t="s">
        <v>72</v>
      </c>
      <c r="B32" t="s">
        <v>73</v>
      </c>
      <c r="C32" t="s">
        <v>74</v>
      </c>
      <c r="E32" t="str">
        <f>"GAB2027633"</f>
        <v>GAB2027633</v>
      </c>
      <c r="F32" s="3">
        <v>45873</v>
      </c>
      <c r="G32">
        <v>202605</v>
      </c>
      <c r="H32" t="s">
        <v>75</v>
      </c>
      <c r="I32" t="s">
        <v>76</v>
      </c>
      <c r="J32" t="s">
        <v>77</v>
      </c>
      <c r="K32" t="s">
        <v>78</v>
      </c>
      <c r="L32" t="s">
        <v>79</v>
      </c>
      <c r="M32" t="s">
        <v>80</v>
      </c>
      <c r="N32" t="s">
        <v>246</v>
      </c>
      <c r="O32" t="s">
        <v>100</v>
      </c>
      <c r="P32" t="str">
        <f>"INV-00119845 CT095621         "</f>
        <v xml:space="preserve">INV-00119845 CT095621         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22.6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1</v>
      </c>
      <c r="BI32">
        <v>0.9</v>
      </c>
      <c r="BJ32">
        <v>1.8</v>
      </c>
      <c r="BK32">
        <v>2</v>
      </c>
      <c r="BL32">
        <v>71.2</v>
      </c>
      <c r="BM32">
        <v>10.68</v>
      </c>
      <c r="BN32">
        <v>81.88</v>
      </c>
      <c r="BO32">
        <v>81.88</v>
      </c>
      <c r="BR32" t="s">
        <v>84</v>
      </c>
      <c r="BS32" s="3">
        <v>45874</v>
      </c>
      <c r="BT32" s="4">
        <v>0.33333333333333331</v>
      </c>
      <c r="BU32" t="s">
        <v>247</v>
      </c>
      <c r="BV32" t="s">
        <v>86</v>
      </c>
      <c r="BY32">
        <v>9188.9699999999993</v>
      </c>
      <c r="BZ32" t="s">
        <v>102</v>
      </c>
      <c r="CA32" t="s">
        <v>248</v>
      </c>
      <c r="CC32" t="s">
        <v>80</v>
      </c>
      <c r="CD32" s="5" t="s">
        <v>249</v>
      </c>
      <c r="CE32" t="s">
        <v>143</v>
      </c>
      <c r="CF32" s="3">
        <v>45874</v>
      </c>
      <c r="CI32">
        <v>1</v>
      </c>
      <c r="CJ32">
        <v>1</v>
      </c>
      <c r="CK32">
        <v>21</v>
      </c>
      <c r="CL32" t="s">
        <v>90</v>
      </c>
    </row>
    <row r="33" spans="1:90" x14ac:dyDescent="0.3">
      <c r="A33" t="s">
        <v>72</v>
      </c>
      <c r="B33" t="s">
        <v>73</v>
      </c>
      <c r="C33" t="s">
        <v>74</v>
      </c>
      <c r="E33" t="str">
        <f>"GAB2027634"</f>
        <v>GAB2027634</v>
      </c>
      <c r="F33" s="3">
        <v>45873</v>
      </c>
      <c r="G33">
        <v>202605</v>
      </c>
      <c r="H33" t="s">
        <v>75</v>
      </c>
      <c r="I33" t="s">
        <v>76</v>
      </c>
      <c r="J33" t="s">
        <v>77</v>
      </c>
      <c r="K33" t="s">
        <v>78</v>
      </c>
      <c r="L33" t="s">
        <v>250</v>
      </c>
      <c r="M33" t="s">
        <v>251</v>
      </c>
      <c r="N33" t="s">
        <v>252</v>
      </c>
      <c r="O33" t="s">
        <v>100</v>
      </c>
      <c r="P33" t="str">
        <f>"INV-00119844 CT095716         "</f>
        <v xml:space="preserve">INV-00119844 CT095716         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43.78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1</v>
      </c>
      <c r="BI33">
        <v>0.6</v>
      </c>
      <c r="BJ33">
        <v>1.4</v>
      </c>
      <c r="BK33">
        <v>1.5</v>
      </c>
      <c r="BL33">
        <v>137.94</v>
      </c>
      <c r="BM33">
        <v>20.69</v>
      </c>
      <c r="BN33">
        <v>158.63</v>
      </c>
      <c r="BO33">
        <v>158.63</v>
      </c>
      <c r="BQ33" t="s">
        <v>253</v>
      </c>
      <c r="BR33" t="s">
        <v>84</v>
      </c>
      <c r="BS33" s="3">
        <v>45874</v>
      </c>
      <c r="BT33" s="4">
        <v>0.4375</v>
      </c>
      <c r="BU33" t="s">
        <v>254</v>
      </c>
      <c r="BV33" t="s">
        <v>86</v>
      </c>
      <c r="BY33">
        <v>7139.28</v>
      </c>
      <c r="BZ33" t="s">
        <v>102</v>
      </c>
      <c r="CA33" t="s">
        <v>255</v>
      </c>
      <c r="CC33" t="s">
        <v>251</v>
      </c>
      <c r="CD33" s="5" t="s">
        <v>256</v>
      </c>
      <c r="CE33" t="s">
        <v>116</v>
      </c>
      <c r="CF33" s="3">
        <v>45875</v>
      </c>
      <c r="CI33">
        <v>2</v>
      </c>
      <c r="CJ33">
        <v>1</v>
      </c>
      <c r="CK33">
        <v>23</v>
      </c>
      <c r="CL33" t="s">
        <v>90</v>
      </c>
    </row>
    <row r="34" spans="1:90" x14ac:dyDescent="0.3">
      <c r="A34" t="s">
        <v>72</v>
      </c>
      <c r="B34" t="s">
        <v>73</v>
      </c>
      <c r="C34" t="s">
        <v>74</v>
      </c>
      <c r="E34" t="str">
        <f>"GAB2027635"</f>
        <v>GAB2027635</v>
      </c>
      <c r="F34" s="3">
        <v>45873</v>
      </c>
      <c r="G34">
        <v>202605</v>
      </c>
      <c r="H34" t="s">
        <v>75</v>
      </c>
      <c r="I34" t="s">
        <v>76</v>
      </c>
      <c r="J34" t="s">
        <v>77</v>
      </c>
      <c r="K34" t="s">
        <v>78</v>
      </c>
      <c r="L34" t="s">
        <v>190</v>
      </c>
      <c r="M34" t="s">
        <v>191</v>
      </c>
      <c r="N34" t="s">
        <v>257</v>
      </c>
      <c r="O34" t="s">
        <v>100</v>
      </c>
      <c r="P34" t="str">
        <f>"INV-00119842 CT096428         "</f>
        <v xml:space="preserve">INV-00119842 CT096428         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22.6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1</v>
      </c>
      <c r="BI34">
        <v>1</v>
      </c>
      <c r="BJ34">
        <v>1.7</v>
      </c>
      <c r="BK34">
        <v>2</v>
      </c>
      <c r="BL34">
        <v>71.2</v>
      </c>
      <c r="BM34">
        <v>10.68</v>
      </c>
      <c r="BN34">
        <v>81.88</v>
      </c>
      <c r="BO34">
        <v>81.88</v>
      </c>
      <c r="BQ34" t="s">
        <v>258</v>
      </c>
      <c r="BR34" t="s">
        <v>84</v>
      </c>
      <c r="BS34" s="3">
        <v>45874</v>
      </c>
      <c r="BT34" s="4">
        <v>0.3840277777777778</v>
      </c>
      <c r="BU34" t="s">
        <v>259</v>
      </c>
      <c r="BV34" t="s">
        <v>86</v>
      </c>
      <c r="BY34">
        <v>8448</v>
      </c>
      <c r="BZ34" t="s">
        <v>102</v>
      </c>
      <c r="CA34" t="s">
        <v>260</v>
      </c>
      <c r="CC34" t="s">
        <v>191</v>
      </c>
      <c r="CD34" s="5" t="s">
        <v>196</v>
      </c>
      <c r="CE34" t="s">
        <v>261</v>
      </c>
      <c r="CF34" s="3">
        <v>45874</v>
      </c>
      <c r="CI34">
        <v>1</v>
      </c>
      <c r="CJ34">
        <v>1</v>
      </c>
      <c r="CK34">
        <v>21</v>
      </c>
      <c r="CL34" t="s">
        <v>90</v>
      </c>
    </row>
    <row r="35" spans="1:90" x14ac:dyDescent="0.3">
      <c r="A35" t="s">
        <v>72</v>
      </c>
      <c r="B35" t="s">
        <v>73</v>
      </c>
      <c r="C35" t="s">
        <v>74</v>
      </c>
      <c r="E35" t="str">
        <f>"GAB2027636"</f>
        <v>GAB2027636</v>
      </c>
      <c r="F35" s="3">
        <v>45873</v>
      </c>
      <c r="G35">
        <v>202605</v>
      </c>
      <c r="H35" t="s">
        <v>75</v>
      </c>
      <c r="I35" t="s">
        <v>76</v>
      </c>
      <c r="J35" t="s">
        <v>77</v>
      </c>
      <c r="K35" t="s">
        <v>78</v>
      </c>
      <c r="L35" t="s">
        <v>79</v>
      </c>
      <c r="M35" t="s">
        <v>80</v>
      </c>
      <c r="N35" t="s">
        <v>262</v>
      </c>
      <c r="O35" t="s">
        <v>100</v>
      </c>
      <c r="P35" t="str">
        <f>"INV-00119841 CT096420         "</f>
        <v xml:space="preserve">INV-00119841 CT096420         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22.6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1</v>
      </c>
      <c r="BI35">
        <v>1.4</v>
      </c>
      <c r="BJ35">
        <v>1.8</v>
      </c>
      <c r="BK35">
        <v>2</v>
      </c>
      <c r="BL35">
        <v>71.2</v>
      </c>
      <c r="BM35">
        <v>10.68</v>
      </c>
      <c r="BN35">
        <v>81.88</v>
      </c>
      <c r="BO35">
        <v>81.88</v>
      </c>
      <c r="BQ35" t="s">
        <v>263</v>
      </c>
      <c r="BR35" t="s">
        <v>84</v>
      </c>
      <c r="BS35" s="3">
        <v>45874</v>
      </c>
      <c r="BT35" s="4">
        <v>0.30694444444444446</v>
      </c>
      <c r="BU35" t="s">
        <v>264</v>
      </c>
      <c r="BV35" t="s">
        <v>86</v>
      </c>
      <c r="BY35">
        <v>9216.9</v>
      </c>
      <c r="BZ35" t="s">
        <v>102</v>
      </c>
      <c r="CA35" t="s">
        <v>236</v>
      </c>
      <c r="CC35" t="s">
        <v>80</v>
      </c>
      <c r="CD35" s="5" t="s">
        <v>237</v>
      </c>
      <c r="CE35" t="s">
        <v>265</v>
      </c>
      <c r="CF35" s="3">
        <v>45874</v>
      </c>
      <c r="CI35">
        <v>1</v>
      </c>
      <c r="CJ35">
        <v>1</v>
      </c>
      <c r="CK35">
        <v>21</v>
      </c>
      <c r="CL35" t="s">
        <v>90</v>
      </c>
    </row>
    <row r="36" spans="1:90" x14ac:dyDescent="0.3">
      <c r="A36" t="s">
        <v>72</v>
      </c>
      <c r="B36" t="s">
        <v>73</v>
      </c>
      <c r="C36" t="s">
        <v>74</v>
      </c>
      <c r="E36" t="str">
        <f>"GAB2027639"</f>
        <v>GAB2027639</v>
      </c>
      <c r="F36" s="3">
        <v>45873</v>
      </c>
      <c r="G36">
        <v>202605</v>
      </c>
      <c r="H36" t="s">
        <v>75</v>
      </c>
      <c r="I36" t="s">
        <v>76</v>
      </c>
      <c r="J36" t="s">
        <v>77</v>
      </c>
      <c r="K36" t="s">
        <v>78</v>
      </c>
      <c r="L36" t="s">
        <v>226</v>
      </c>
      <c r="M36" t="s">
        <v>227</v>
      </c>
      <c r="N36" t="s">
        <v>266</v>
      </c>
      <c r="O36" t="s">
        <v>100</v>
      </c>
      <c r="P36" t="str">
        <f>"INV-00119860 CT096438         "</f>
        <v xml:space="preserve">INV-00119860 CT096438         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22.6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1</v>
      </c>
      <c r="BI36">
        <v>0.7</v>
      </c>
      <c r="BJ36">
        <v>1.9</v>
      </c>
      <c r="BK36">
        <v>2</v>
      </c>
      <c r="BL36">
        <v>71.2</v>
      </c>
      <c r="BM36">
        <v>10.68</v>
      </c>
      <c r="BN36">
        <v>81.88</v>
      </c>
      <c r="BO36">
        <v>81.88</v>
      </c>
      <c r="BR36" t="s">
        <v>84</v>
      </c>
      <c r="BS36" s="3">
        <v>45875</v>
      </c>
      <c r="BT36" s="4">
        <v>0.51736111111111116</v>
      </c>
      <c r="BU36" t="s">
        <v>267</v>
      </c>
      <c r="BV36" t="s">
        <v>86</v>
      </c>
      <c r="BY36">
        <v>9602.4500000000007</v>
      </c>
      <c r="BZ36" t="s">
        <v>102</v>
      </c>
      <c r="CA36" t="s">
        <v>268</v>
      </c>
      <c r="CC36" t="s">
        <v>227</v>
      </c>
      <c r="CD36">
        <v>3610</v>
      </c>
      <c r="CE36" t="s">
        <v>116</v>
      </c>
      <c r="CF36" s="3">
        <v>45876</v>
      </c>
      <c r="CI36">
        <v>2</v>
      </c>
      <c r="CJ36">
        <v>2</v>
      </c>
      <c r="CK36">
        <v>21</v>
      </c>
      <c r="CL36" t="s">
        <v>90</v>
      </c>
    </row>
    <row r="37" spans="1:90" x14ac:dyDescent="0.3">
      <c r="A37" t="s">
        <v>72</v>
      </c>
      <c r="B37" t="s">
        <v>73</v>
      </c>
      <c r="C37" t="s">
        <v>74</v>
      </c>
      <c r="E37" t="str">
        <f>"GAB2027640"</f>
        <v>GAB2027640</v>
      </c>
      <c r="F37" s="3">
        <v>45873</v>
      </c>
      <c r="G37">
        <v>202605</v>
      </c>
      <c r="H37" t="s">
        <v>75</v>
      </c>
      <c r="I37" t="s">
        <v>76</v>
      </c>
      <c r="J37" t="s">
        <v>77</v>
      </c>
      <c r="K37" t="s">
        <v>78</v>
      </c>
      <c r="L37" t="s">
        <v>159</v>
      </c>
      <c r="M37" t="s">
        <v>159</v>
      </c>
      <c r="N37" t="s">
        <v>269</v>
      </c>
      <c r="O37" t="s">
        <v>100</v>
      </c>
      <c r="P37" t="str">
        <f>"INV-00119862 CT096437         "</f>
        <v xml:space="preserve">INV-00119862 CT096437         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39.520000000000003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1</v>
      </c>
      <c r="BI37">
        <v>0.7</v>
      </c>
      <c r="BJ37">
        <v>2.1</v>
      </c>
      <c r="BK37">
        <v>2.5</v>
      </c>
      <c r="BL37">
        <v>124.51</v>
      </c>
      <c r="BM37">
        <v>18.68</v>
      </c>
      <c r="BN37">
        <v>143.19</v>
      </c>
      <c r="BO37">
        <v>143.19</v>
      </c>
      <c r="BQ37" t="s">
        <v>270</v>
      </c>
      <c r="BR37" t="s">
        <v>84</v>
      </c>
      <c r="BS37" s="3">
        <v>45874</v>
      </c>
      <c r="BT37" s="4">
        <v>0.47013888888888888</v>
      </c>
      <c r="BU37" t="s">
        <v>271</v>
      </c>
      <c r="BV37" t="s">
        <v>86</v>
      </c>
      <c r="BY37">
        <v>10393.950000000001</v>
      </c>
      <c r="BZ37" t="s">
        <v>102</v>
      </c>
      <c r="CA37" t="s">
        <v>272</v>
      </c>
      <c r="CC37" t="s">
        <v>159</v>
      </c>
      <c r="CD37">
        <v>7646</v>
      </c>
      <c r="CE37" t="s">
        <v>109</v>
      </c>
      <c r="CF37" s="3">
        <v>45875</v>
      </c>
      <c r="CI37">
        <v>1</v>
      </c>
      <c r="CJ37">
        <v>1</v>
      </c>
      <c r="CK37">
        <v>24</v>
      </c>
      <c r="CL37" t="s">
        <v>90</v>
      </c>
    </row>
    <row r="38" spans="1:90" x14ac:dyDescent="0.3">
      <c r="A38" t="s">
        <v>72</v>
      </c>
      <c r="B38" t="s">
        <v>73</v>
      </c>
      <c r="C38" t="s">
        <v>74</v>
      </c>
      <c r="E38" t="str">
        <f>"GAB2027642"</f>
        <v>GAB2027642</v>
      </c>
      <c r="F38" s="3">
        <v>45873</v>
      </c>
      <c r="G38">
        <v>202605</v>
      </c>
      <c r="H38" t="s">
        <v>75</v>
      </c>
      <c r="I38" t="s">
        <v>76</v>
      </c>
      <c r="J38" t="s">
        <v>77</v>
      </c>
      <c r="K38" t="s">
        <v>78</v>
      </c>
      <c r="L38" t="s">
        <v>148</v>
      </c>
      <c r="M38" t="s">
        <v>149</v>
      </c>
      <c r="N38" t="s">
        <v>273</v>
      </c>
      <c r="O38" t="s">
        <v>100</v>
      </c>
      <c r="P38" t="str">
        <f>"INV-00038126 035146           "</f>
        <v xml:space="preserve">INV-00038126 035146           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28.24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1</v>
      </c>
      <c r="BI38">
        <v>0.7</v>
      </c>
      <c r="BJ38">
        <v>2.2000000000000002</v>
      </c>
      <c r="BK38">
        <v>2.5</v>
      </c>
      <c r="BL38">
        <v>88.98</v>
      </c>
      <c r="BM38">
        <v>13.35</v>
      </c>
      <c r="BN38">
        <v>102.33</v>
      </c>
      <c r="BO38">
        <v>102.33</v>
      </c>
      <c r="BQ38" t="s">
        <v>274</v>
      </c>
      <c r="BR38" t="s">
        <v>84</v>
      </c>
      <c r="BS38" s="3">
        <v>45874</v>
      </c>
      <c r="BT38" s="4">
        <v>0.36319444444444443</v>
      </c>
      <c r="BU38" t="s">
        <v>275</v>
      </c>
      <c r="BV38" t="s">
        <v>86</v>
      </c>
      <c r="BY38">
        <v>10799.17</v>
      </c>
      <c r="BZ38" t="s">
        <v>102</v>
      </c>
      <c r="CA38" t="s">
        <v>276</v>
      </c>
      <c r="CC38" t="s">
        <v>149</v>
      </c>
      <c r="CD38">
        <v>6000</v>
      </c>
      <c r="CE38" t="s">
        <v>116</v>
      </c>
      <c r="CF38" s="3">
        <v>45874</v>
      </c>
      <c r="CI38">
        <v>2</v>
      </c>
      <c r="CJ38">
        <v>1</v>
      </c>
      <c r="CK38">
        <v>21</v>
      </c>
      <c r="CL38" t="s">
        <v>90</v>
      </c>
    </row>
    <row r="39" spans="1:90" x14ac:dyDescent="0.3">
      <c r="A39" t="s">
        <v>72</v>
      </c>
      <c r="B39" t="s">
        <v>73</v>
      </c>
      <c r="C39" t="s">
        <v>74</v>
      </c>
      <c r="E39" t="str">
        <f>"GAB2027643"</f>
        <v>GAB2027643</v>
      </c>
      <c r="F39" s="3">
        <v>45873</v>
      </c>
      <c r="G39">
        <v>202605</v>
      </c>
      <c r="H39" t="s">
        <v>75</v>
      </c>
      <c r="I39" t="s">
        <v>76</v>
      </c>
      <c r="J39" t="s">
        <v>77</v>
      </c>
      <c r="K39" t="s">
        <v>78</v>
      </c>
      <c r="L39" t="s">
        <v>172</v>
      </c>
      <c r="M39" t="s">
        <v>173</v>
      </c>
      <c r="N39" t="s">
        <v>174</v>
      </c>
      <c r="O39" t="s">
        <v>100</v>
      </c>
      <c r="P39" t="str">
        <f>"INV-00038129 00038092 034976 0"</f>
        <v>INV-00038129 00038092 034976 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279.39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2</v>
      </c>
      <c r="BI39">
        <v>9.3000000000000007</v>
      </c>
      <c r="BJ39">
        <v>18</v>
      </c>
      <c r="BK39">
        <v>18</v>
      </c>
      <c r="BL39">
        <v>880.22</v>
      </c>
      <c r="BM39">
        <v>132.03</v>
      </c>
      <c r="BN39">
        <v>1012.25</v>
      </c>
      <c r="BO39">
        <v>1012.25</v>
      </c>
      <c r="BQ39" t="s">
        <v>168</v>
      </c>
      <c r="BR39" t="s">
        <v>84</v>
      </c>
      <c r="BS39" s="3">
        <v>45874</v>
      </c>
      <c r="BT39" s="4">
        <v>0.48472222222222222</v>
      </c>
      <c r="BU39" t="s">
        <v>277</v>
      </c>
      <c r="BV39" t="s">
        <v>86</v>
      </c>
      <c r="BY39">
        <v>90038.64</v>
      </c>
      <c r="BZ39" t="s">
        <v>102</v>
      </c>
      <c r="CA39" t="s">
        <v>278</v>
      </c>
      <c r="CC39" t="s">
        <v>173</v>
      </c>
      <c r="CD39">
        <v>6850</v>
      </c>
      <c r="CE39" t="s">
        <v>279</v>
      </c>
      <c r="CF39" s="3">
        <v>45875</v>
      </c>
      <c r="CI39">
        <v>2</v>
      </c>
      <c r="CJ39">
        <v>1</v>
      </c>
      <c r="CK39">
        <v>24</v>
      </c>
      <c r="CL39" t="s">
        <v>90</v>
      </c>
    </row>
    <row r="40" spans="1:90" x14ac:dyDescent="0.3">
      <c r="A40" t="s">
        <v>72</v>
      </c>
      <c r="B40" t="s">
        <v>73</v>
      </c>
      <c r="C40" t="s">
        <v>74</v>
      </c>
      <c r="E40" t="str">
        <f>"GAB2027644"</f>
        <v>GAB2027644</v>
      </c>
      <c r="F40" s="3">
        <v>45873</v>
      </c>
      <c r="G40">
        <v>202605</v>
      </c>
      <c r="H40" t="s">
        <v>75</v>
      </c>
      <c r="I40" t="s">
        <v>76</v>
      </c>
      <c r="J40" t="s">
        <v>77</v>
      </c>
      <c r="K40" t="s">
        <v>78</v>
      </c>
      <c r="L40" t="s">
        <v>79</v>
      </c>
      <c r="M40" t="s">
        <v>80</v>
      </c>
      <c r="N40" t="s">
        <v>280</v>
      </c>
      <c r="O40" t="s">
        <v>100</v>
      </c>
      <c r="P40" t="str">
        <f>"INV-00038128 035157           "</f>
        <v xml:space="preserve">INV-00038128 035157           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33.89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1</v>
      </c>
      <c r="BI40">
        <v>0.7</v>
      </c>
      <c r="BJ40">
        <v>3</v>
      </c>
      <c r="BK40">
        <v>3</v>
      </c>
      <c r="BL40">
        <v>106.77</v>
      </c>
      <c r="BM40">
        <v>16.02</v>
      </c>
      <c r="BN40">
        <v>122.79</v>
      </c>
      <c r="BO40">
        <v>122.79</v>
      </c>
      <c r="BR40" t="s">
        <v>84</v>
      </c>
      <c r="BS40" s="3">
        <v>45874</v>
      </c>
      <c r="BT40" s="4">
        <v>0.40347222222222223</v>
      </c>
      <c r="BU40" t="s">
        <v>281</v>
      </c>
      <c r="BV40" t="s">
        <v>86</v>
      </c>
      <c r="BY40">
        <v>14921.28</v>
      </c>
      <c r="BZ40" t="s">
        <v>102</v>
      </c>
      <c r="CA40" t="s">
        <v>282</v>
      </c>
      <c r="CC40" t="s">
        <v>80</v>
      </c>
      <c r="CD40" s="5" t="s">
        <v>88</v>
      </c>
      <c r="CE40" t="s">
        <v>116</v>
      </c>
      <c r="CF40" s="3">
        <v>45874</v>
      </c>
      <c r="CI40">
        <v>1</v>
      </c>
      <c r="CJ40">
        <v>1</v>
      </c>
      <c r="CK40">
        <v>21</v>
      </c>
      <c r="CL40" t="s">
        <v>90</v>
      </c>
    </row>
    <row r="41" spans="1:90" x14ac:dyDescent="0.3">
      <c r="A41" t="s">
        <v>72</v>
      </c>
      <c r="B41" t="s">
        <v>73</v>
      </c>
      <c r="C41" t="s">
        <v>74</v>
      </c>
      <c r="E41" t="str">
        <f>"GAB2027645"</f>
        <v>GAB2027645</v>
      </c>
      <c r="F41" s="3">
        <v>45873</v>
      </c>
      <c r="G41">
        <v>202605</v>
      </c>
      <c r="H41" t="s">
        <v>75</v>
      </c>
      <c r="I41" t="s">
        <v>76</v>
      </c>
      <c r="J41" t="s">
        <v>77</v>
      </c>
      <c r="K41" t="s">
        <v>78</v>
      </c>
      <c r="L41" t="s">
        <v>79</v>
      </c>
      <c r="M41" t="s">
        <v>80</v>
      </c>
      <c r="N41" t="s">
        <v>283</v>
      </c>
      <c r="O41" t="s">
        <v>100</v>
      </c>
      <c r="P41" t="str">
        <f>"INV-00038151 035134           "</f>
        <v xml:space="preserve">INV-00038151 035134           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45.18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1</v>
      </c>
      <c r="BI41">
        <v>0.7</v>
      </c>
      <c r="BJ41">
        <v>3.9</v>
      </c>
      <c r="BK41">
        <v>4</v>
      </c>
      <c r="BL41">
        <v>142.34</v>
      </c>
      <c r="BM41">
        <v>21.35</v>
      </c>
      <c r="BN41">
        <v>163.69</v>
      </c>
      <c r="BO41">
        <v>163.69</v>
      </c>
      <c r="BQ41" t="s">
        <v>274</v>
      </c>
      <c r="BR41" t="s">
        <v>84</v>
      </c>
      <c r="BS41" s="3">
        <v>45874</v>
      </c>
      <c r="BT41" s="4">
        <v>0.34027777777777779</v>
      </c>
      <c r="BU41" t="s">
        <v>284</v>
      </c>
      <c r="BV41" t="s">
        <v>86</v>
      </c>
      <c r="BY41">
        <v>19265.400000000001</v>
      </c>
      <c r="BZ41" t="s">
        <v>102</v>
      </c>
      <c r="CA41" t="s">
        <v>285</v>
      </c>
      <c r="CC41" t="s">
        <v>80</v>
      </c>
      <c r="CD41" s="5" t="s">
        <v>237</v>
      </c>
      <c r="CE41" t="s">
        <v>109</v>
      </c>
      <c r="CF41" s="3">
        <v>45874</v>
      </c>
      <c r="CI41">
        <v>1</v>
      </c>
      <c r="CJ41">
        <v>1</v>
      </c>
      <c r="CK41">
        <v>21</v>
      </c>
      <c r="CL41" t="s">
        <v>90</v>
      </c>
    </row>
    <row r="42" spans="1:90" x14ac:dyDescent="0.3">
      <c r="A42" t="s">
        <v>72</v>
      </c>
      <c r="B42" t="s">
        <v>73</v>
      </c>
      <c r="C42" t="s">
        <v>74</v>
      </c>
      <c r="E42" t="str">
        <f>"GAB2027646"</f>
        <v>GAB2027646</v>
      </c>
      <c r="F42" s="3">
        <v>45873</v>
      </c>
      <c r="G42">
        <v>202605</v>
      </c>
      <c r="H42" t="s">
        <v>75</v>
      </c>
      <c r="I42" t="s">
        <v>76</v>
      </c>
      <c r="J42" t="s">
        <v>77</v>
      </c>
      <c r="K42" t="s">
        <v>78</v>
      </c>
      <c r="L42" t="s">
        <v>79</v>
      </c>
      <c r="M42" t="s">
        <v>80</v>
      </c>
      <c r="N42" t="s">
        <v>286</v>
      </c>
      <c r="O42" t="s">
        <v>100</v>
      </c>
      <c r="P42" t="str">
        <f>"INV-00038152 035140           "</f>
        <v xml:space="preserve">INV-00038152 035140           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28.24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1</v>
      </c>
      <c r="BI42">
        <v>0.8</v>
      </c>
      <c r="BJ42">
        <v>2.5</v>
      </c>
      <c r="BK42">
        <v>2.5</v>
      </c>
      <c r="BL42">
        <v>88.98</v>
      </c>
      <c r="BM42">
        <v>13.35</v>
      </c>
      <c r="BN42">
        <v>102.33</v>
      </c>
      <c r="BO42">
        <v>102.33</v>
      </c>
      <c r="BQ42" t="s">
        <v>287</v>
      </c>
      <c r="BR42" t="s">
        <v>84</v>
      </c>
      <c r="BS42" s="3">
        <v>45874</v>
      </c>
      <c r="BT42" s="4">
        <v>0.3215277777777778</v>
      </c>
      <c r="BU42" t="s">
        <v>288</v>
      </c>
      <c r="BV42" t="s">
        <v>86</v>
      </c>
      <c r="BY42">
        <v>12253.28</v>
      </c>
      <c r="BZ42" t="s">
        <v>102</v>
      </c>
      <c r="CA42" t="s">
        <v>289</v>
      </c>
      <c r="CC42" t="s">
        <v>80</v>
      </c>
      <c r="CD42" s="5" t="s">
        <v>147</v>
      </c>
      <c r="CE42" t="s">
        <v>109</v>
      </c>
      <c r="CF42" s="3">
        <v>45874</v>
      </c>
      <c r="CI42">
        <v>1</v>
      </c>
      <c r="CJ42">
        <v>1</v>
      </c>
      <c r="CK42">
        <v>21</v>
      </c>
      <c r="CL42" t="s">
        <v>90</v>
      </c>
    </row>
    <row r="43" spans="1:90" x14ac:dyDescent="0.3">
      <c r="A43" t="s">
        <v>72</v>
      </c>
      <c r="B43" t="s">
        <v>73</v>
      </c>
      <c r="C43" t="s">
        <v>74</v>
      </c>
      <c r="E43" t="str">
        <f>"GAB2027647"</f>
        <v>GAB2027647</v>
      </c>
      <c r="F43" s="3">
        <v>45873</v>
      </c>
      <c r="G43">
        <v>202605</v>
      </c>
      <c r="H43" t="s">
        <v>75</v>
      </c>
      <c r="I43" t="s">
        <v>76</v>
      </c>
      <c r="J43" t="s">
        <v>77</v>
      </c>
      <c r="K43" t="s">
        <v>78</v>
      </c>
      <c r="L43" t="s">
        <v>190</v>
      </c>
      <c r="M43" t="s">
        <v>191</v>
      </c>
      <c r="N43" t="s">
        <v>257</v>
      </c>
      <c r="O43" t="s">
        <v>100</v>
      </c>
      <c r="P43" t="str">
        <f>"INV-00119868 CT096442         "</f>
        <v xml:space="preserve">INV-00119868 CT096442         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22.6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1</v>
      </c>
      <c r="BI43">
        <v>0.7</v>
      </c>
      <c r="BJ43">
        <v>1.9</v>
      </c>
      <c r="BK43">
        <v>2</v>
      </c>
      <c r="BL43">
        <v>71.2</v>
      </c>
      <c r="BM43">
        <v>10.68</v>
      </c>
      <c r="BN43">
        <v>81.88</v>
      </c>
      <c r="BO43">
        <v>81.88</v>
      </c>
      <c r="BQ43" t="s">
        <v>258</v>
      </c>
      <c r="BR43" t="s">
        <v>84</v>
      </c>
      <c r="BS43" s="3">
        <v>45874</v>
      </c>
      <c r="BT43" s="4">
        <v>0.3840277777777778</v>
      </c>
      <c r="BU43" t="s">
        <v>259</v>
      </c>
      <c r="BV43" t="s">
        <v>86</v>
      </c>
      <c r="BY43">
        <v>9406.9500000000007</v>
      </c>
      <c r="BZ43" t="s">
        <v>102</v>
      </c>
      <c r="CA43" t="s">
        <v>260</v>
      </c>
      <c r="CC43" t="s">
        <v>191</v>
      </c>
      <c r="CD43" s="5" t="s">
        <v>196</v>
      </c>
      <c r="CE43" t="s">
        <v>290</v>
      </c>
      <c r="CF43" s="3">
        <v>45874</v>
      </c>
      <c r="CI43">
        <v>1</v>
      </c>
      <c r="CJ43">
        <v>1</v>
      </c>
      <c r="CK43">
        <v>21</v>
      </c>
      <c r="CL43" t="s">
        <v>90</v>
      </c>
    </row>
    <row r="44" spans="1:90" x14ac:dyDescent="0.3">
      <c r="A44" t="s">
        <v>72</v>
      </c>
      <c r="B44" t="s">
        <v>73</v>
      </c>
      <c r="C44" t="s">
        <v>74</v>
      </c>
      <c r="E44" t="str">
        <f>"GAB2027649"</f>
        <v>GAB2027649</v>
      </c>
      <c r="F44" s="3">
        <v>45873</v>
      </c>
      <c r="G44">
        <v>202605</v>
      </c>
      <c r="H44" t="s">
        <v>75</v>
      </c>
      <c r="I44" t="s">
        <v>76</v>
      </c>
      <c r="J44" t="s">
        <v>77</v>
      </c>
      <c r="K44" t="s">
        <v>78</v>
      </c>
      <c r="L44" t="s">
        <v>91</v>
      </c>
      <c r="M44" t="s">
        <v>92</v>
      </c>
      <c r="N44" t="s">
        <v>291</v>
      </c>
      <c r="O44" t="s">
        <v>100</v>
      </c>
      <c r="P44" t="str">
        <f>"INV-00038147 035143           "</f>
        <v xml:space="preserve">INV-00038147 035143           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22.6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1</v>
      </c>
      <c r="BI44">
        <v>0.6</v>
      </c>
      <c r="BJ44">
        <v>1.7</v>
      </c>
      <c r="BK44">
        <v>2</v>
      </c>
      <c r="BL44">
        <v>71.2</v>
      </c>
      <c r="BM44">
        <v>10.68</v>
      </c>
      <c r="BN44">
        <v>81.88</v>
      </c>
      <c r="BO44">
        <v>81.88</v>
      </c>
      <c r="BQ44" t="s">
        <v>292</v>
      </c>
      <c r="BR44" t="s">
        <v>84</v>
      </c>
      <c r="BS44" s="3">
        <v>45875</v>
      </c>
      <c r="BT44" s="4">
        <v>0.44166666666666665</v>
      </c>
      <c r="BU44" t="s">
        <v>293</v>
      </c>
      <c r="BV44" t="s">
        <v>90</v>
      </c>
      <c r="BW44" t="s">
        <v>294</v>
      </c>
      <c r="BX44" t="s">
        <v>295</v>
      </c>
      <c r="BY44">
        <v>8640</v>
      </c>
      <c r="BZ44" t="s">
        <v>102</v>
      </c>
      <c r="CA44" t="s">
        <v>296</v>
      </c>
      <c r="CC44" t="s">
        <v>92</v>
      </c>
      <c r="CD44">
        <v>4000</v>
      </c>
      <c r="CE44" t="s">
        <v>297</v>
      </c>
      <c r="CF44" s="3">
        <v>45876</v>
      </c>
      <c r="CI44">
        <v>2</v>
      </c>
      <c r="CJ44">
        <v>2</v>
      </c>
      <c r="CK44">
        <v>21</v>
      </c>
      <c r="CL44" t="s">
        <v>90</v>
      </c>
    </row>
    <row r="45" spans="1:90" x14ac:dyDescent="0.3">
      <c r="A45" t="s">
        <v>72</v>
      </c>
      <c r="B45" t="s">
        <v>73</v>
      </c>
      <c r="C45" t="s">
        <v>74</v>
      </c>
      <c r="E45" t="str">
        <f>"GAB2027650"</f>
        <v>GAB2027650</v>
      </c>
      <c r="F45" s="3">
        <v>45873</v>
      </c>
      <c r="G45">
        <v>202605</v>
      </c>
      <c r="H45" t="s">
        <v>75</v>
      </c>
      <c r="I45" t="s">
        <v>76</v>
      </c>
      <c r="J45" t="s">
        <v>77</v>
      </c>
      <c r="K45" t="s">
        <v>78</v>
      </c>
      <c r="L45" t="s">
        <v>298</v>
      </c>
      <c r="M45" t="s">
        <v>299</v>
      </c>
      <c r="N45" t="s">
        <v>300</v>
      </c>
      <c r="O45" t="s">
        <v>100</v>
      </c>
      <c r="P45" t="str">
        <f>"INV-00119882 CT096447.        "</f>
        <v xml:space="preserve">INV-00119882 CT096447.        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53.67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1</v>
      </c>
      <c r="BI45">
        <v>0.9</v>
      </c>
      <c r="BJ45">
        <v>2.2000000000000002</v>
      </c>
      <c r="BK45">
        <v>2.5</v>
      </c>
      <c r="BL45">
        <v>169.09</v>
      </c>
      <c r="BM45">
        <v>25.36</v>
      </c>
      <c r="BN45">
        <v>194.45</v>
      </c>
      <c r="BO45">
        <v>194.45</v>
      </c>
      <c r="BQ45" t="s">
        <v>301</v>
      </c>
      <c r="BR45" t="s">
        <v>84</v>
      </c>
      <c r="BS45" s="3">
        <v>45876</v>
      </c>
      <c r="BT45" s="4">
        <v>0.69166666666666665</v>
      </c>
      <c r="BU45" t="s">
        <v>302</v>
      </c>
      <c r="BV45" t="s">
        <v>86</v>
      </c>
      <c r="BY45">
        <v>10843.82</v>
      </c>
      <c r="BZ45" t="s">
        <v>102</v>
      </c>
      <c r="CA45" t="s">
        <v>303</v>
      </c>
      <c r="CC45" t="s">
        <v>299</v>
      </c>
      <c r="CD45">
        <v>8800</v>
      </c>
      <c r="CE45" t="s">
        <v>143</v>
      </c>
      <c r="CF45" s="3">
        <v>45877</v>
      </c>
      <c r="CI45">
        <v>3</v>
      </c>
      <c r="CJ45">
        <v>3</v>
      </c>
      <c r="CK45">
        <v>23</v>
      </c>
      <c r="CL45" t="s">
        <v>90</v>
      </c>
    </row>
    <row r="46" spans="1:90" x14ac:dyDescent="0.3">
      <c r="A46" t="s">
        <v>72</v>
      </c>
      <c r="B46" t="s">
        <v>73</v>
      </c>
      <c r="C46" t="s">
        <v>74</v>
      </c>
      <c r="E46" t="str">
        <f>"GAB2027651"</f>
        <v>GAB2027651</v>
      </c>
      <c r="F46" s="3">
        <v>45873</v>
      </c>
      <c r="G46">
        <v>202605</v>
      </c>
      <c r="H46" t="s">
        <v>75</v>
      </c>
      <c r="I46" t="s">
        <v>76</v>
      </c>
      <c r="J46" t="s">
        <v>77</v>
      </c>
      <c r="K46" t="s">
        <v>78</v>
      </c>
      <c r="L46" t="s">
        <v>159</v>
      </c>
      <c r="M46" t="s">
        <v>159</v>
      </c>
      <c r="N46" t="s">
        <v>304</v>
      </c>
      <c r="O46" t="s">
        <v>100</v>
      </c>
      <c r="P46" t="str">
        <f>"INV-00038153 035158           "</f>
        <v xml:space="preserve">INV-00038153 035158           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39.520000000000003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1</v>
      </c>
      <c r="BI46">
        <v>1</v>
      </c>
      <c r="BJ46">
        <v>2.2000000000000002</v>
      </c>
      <c r="BK46">
        <v>2.5</v>
      </c>
      <c r="BL46">
        <v>124.51</v>
      </c>
      <c r="BM46">
        <v>18.68</v>
      </c>
      <c r="BN46">
        <v>143.19</v>
      </c>
      <c r="BO46">
        <v>143.19</v>
      </c>
      <c r="BQ46" t="s">
        <v>305</v>
      </c>
      <c r="BR46" t="s">
        <v>84</v>
      </c>
      <c r="BS46" s="3">
        <v>45874</v>
      </c>
      <c r="BT46" s="4">
        <v>0.46527777777777779</v>
      </c>
      <c r="BU46" t="s">
        <v>306</v>
      </c>
      <c r="BV46" t="s">
        <v>86</v>
      </c>
      <c r="BY46">
        <v>10829.7</v>
      </c>
      <c r="BZ46" t="s">
        <v>102</v>
      </c>
      <c r="CA46" t="s">
        <v>272</v>
      </c>
      <c r="CC46" t="s">
        <v>159</v>
      </c>
      <c r="CD46">
        <v>7646</v>
      </c>
      <c r="CE46" t="s">
        <v>307</v>
      </c>
      <c r="CF46" s="3">
        <v>45875</v>
      </c>
      <c r="CI46">
        <v>1</v>
      </c>
      <c r="CJ46">
        <v>1</v>
      </c>
      <c r="CK46">
        <v>24</v>
      </c>
      <c r="CL46" t="s">
        <v>90</v>
      </c>
    </row>
    <row r="47" spans="1:90" x14ac:dyDescent="0.3">
      <c r="A47" t="s">
        <v>72</v>
      </c>
      <c r="B47" t="s">
        <v>73</v>
      </c>
      <c r="C47" t="s">
        <v>74</v>
      </c>
      <c r="E47" t="str">
        <f>"GAB2027652"</f>
        <v>GAB2027652</v>
      </c>
      <c r="F47" s="3">
        <v>45873</v>
      </c>
      <c r="G47">
        <v>202605</v>
      </c>
      <c r="H47" t="s">
        <v>75</v>
      </c>
      <c r="I47" t="s">
        <v>76</v>
      </c>
      <c r="J47" t="s">
        <v>77</v>
      </c>
      <c r="K47" t="s">
        <v>78</v>
      </c>
      <c r="L47" t="s">
        <v>308</v>
      </c>
      <c r="M47" t="s">
        <v>309</v>
      </c>
      <c r="N47" t="s">
        <v>310</v>
      </c>
      <c r="O47" t="s">
        <v>100</v>
      </c>
      <c r="P47" t="str">
        <f>"INV-00119881 CT096446         "</f>
        <v xml:space="preserve">INV-00119881 CT096446         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53.67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1</v>
      </c>
      <c r="BI47">
        <v>0.8</v>
      </c>
      <c r="BJ47">
        <v>2.1</v>
      </c>
      <c r="BK47">
        <v>2.5</v>
      </c>
      <c r="BL47">
        <v>169.09</v>
      </c>
      <c r="BM47">
        <v>25.36</v>
      </c>
      <c r="BN47">
        <v>194.45</v>
      </c>
      <c r="BO47">
        <v>194.45</v>
      </c>
      <c r="BQ47" t="s">
        <v>311</v>
      </c>
      <c r="BR47" t="s">
        <v>84</v>
      </c>
      <c r="BS47" s="3">
        <v>45874</v>
      </c>
      <c r="BT47" s="4">
        <v>0.42638888888888887</v>
      </c>
      <c r="BU47" t="s">
        <v>312</v>
      </c>
      <c r="BV47" t="s">
        <v>86</v>
      </c>
      <c r="BY47">
        <v>10436.129999999999</v>
      </c>
      <c r="BZ47" t="s">
        <v>102</v>
      </c>
      <c r="CA47" t="s">
        <v>313</v>
      </c>
      <c r="CC47" t="s">
        <v>309</v>
      </c>
      <c r="CD47" s="5" t="s">
        <v>314</v>
      </c>
      <c r="CE47" t="s">
        <v>109</v>
      </c>
      <c r="CF47" s="3">
        <v>45875</v>
      </c>
      <c r="CI47">
        <v>2</v>
      </c>
      <c r="CJ47">
        <v>1</v>
      </c>
      <c r="CK47">
        <v>23</v>
      </c>
      <c r="CL47" t="s">
        <v>90</v>
      </c>
    </row>
    <row r="48" spans="1:90" x14ac:dyDescent="0.3">
      <c r="A48" t="s">
        <v>72</v>
      </c>
      <c r="B48" t="s">
        <v>73</v>
      </c>
      <c r="C48" t="s">
        <v>74</v>
      </c>
      <c r="E48" t="str">
        <f>"GAB2027653"</f>
        <v>GAB2027653</v>
      </c>
      <c r="F48" s="3">
        <v>45873</v>
      </c>
      <c r="G48">
        <v>202605</v>
      </c>
      <c r="H48" t="s">
        <v>75</v>
      </c>
      <c r="I48" t="s">
        <v>76</v>
      </c>
      <c r="J48" t="s">
        <v>77</v>
      </c>
      <c r="K48" t="s">
        <v>78</v>
      </c>
      <c r="L48" t="s">
        <v>315</v>
      </c>
      <c r="M48" t="s">
        <v>316</v>
      </c>
      <c r="N48" t="s">
        <v>317</v>
      </c>
      <c r="O48" t="s">
        <v>100</v>
      </c>
      <c r="P48" t="str">
        <f>"INV-00119878 CT096448         "</f>
        <v xml:space="preserve">INV-00119878 CT096448         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598.4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16.739999999999998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4</v>
      </c>
      <c r="BI48">
        <v>18.100000000000001</v>
      </c>
      <c r="BJ48">
        <v>52.7</v>
      </c>
      <c r="BK48">
        <v>53</v>
      </c>
      <c r="BL48">
        <v>1902.02</v>
      </c>
      <c r="BM48">
        <v>285.3</v>
      </c>
      <c r="BN48">
        <v>2187.3200000000002</v>
      </c>
      <c r="BO48">
        <v>2187.3200000000002</v>
      </c>
      <c r="BR48" t="s">
        <v>84</v>
      </c>
      <c r="BS48" s="3">
        <v>45875</v>
      </c>
      <c r="BT48" s="4">
        <v>0.59861111111111109</v>
      </c>
      <c r="BU48" t="s">
        <v>318</v>
      </c>
      <c r="BV48" t="s">
        <v>90</v>
      </c>
      <c r="BW48" t="s">
        <v>294</v>
      </c>
      <c r="BX48" t="s">
        <v>319</v>
      </c>
      <c r="BY48">
        <v>263661.65999999997</v>
      </c>
      <c r="BZ48" t="s">
        <v>320</v>
      </c>
      <c r="CA48" t="s">
        <v>321</v>
      </c>
      <c r="CC48" t="s">
        <v>316</v>
      </c>
      <c r="CD48">
        <v>4133</v>
      </c>
      <c r="CE48" t="s">
        <v>322</v>
      </c>
      <c r="CF48" s="3">
        <v>45876</v>
      </c>
      <c r="CI48">
        <v>2</v>
      </c>
      <c r="CJ48">
        <v>2</v>
      </c>
      <c r="CK48">
        <v>21</v>
      </c>
      <c r="CL48" t="s">
        <v>90</v>
      </c>
    </row>
    <row r="49" spans="1:90" x14ac:dyDescent="0.3">
      <c r="A49" t="s">
        <v>72</v>
      </c>
      <c r="B49" t="s">
        <v>73</v>
      </c>
      <c r="C49" t="s">
        <v>74</v>
      </c>
      <c r="E49" t="str">
        <f>"GAB2027654"</f>
        <v>GAB2027654</v>
      </c>
      <c r="F49" s="3">
        <v>45873</v>
      </c>
      <c r="G49">
        <v>202605</v>
      </c>
      <c r="H49" t="s">
        <v>75</v>
      </c>
      <c r="I49" t="s">
        <v>76</v>
      </c>
      <c r="J49" t="s">
        <v>77</v>
      </c>
      <c r="K49" t="s">
        <v>78</v>
      </c>
      <c r="L49" t="s">
        <v>75</v>
      </c>
      <c r="M49" t="s">
        <v>76</v>
      </c>
      <c r="N49" t="s">
        <v>323</v>
      </c>
      <c r="O49" t="s">
        <v>100</v>
      </c>
      <c r="P49" t="str">
        <f>"INV-00119877 CT096449         "</f>
        <v xml:space="preserve">INV-00119877 CT096449         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17.649999999999999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1</v>
      </c>
      <c r="BI49">
        <v>0.7</v>
      </c>
      <c r="BJ49">
        <v>2.2000000000000002</v>
      </c>
      <c r="BK49">
        <v>3</v>
      </c>
      <c r="BL49">
        <v>55.61</v>
      </c>
      <c r="BM49">
        <v>8.34</v>
      </c>
      <c r="BN49">
        <v>63.95</v>
      </c>
      <c r="BO49">
        <v>63.95</v>
      </c>
      <c r="BQ49" t="s">
        <v>324</v>
      </c>
      <c r="BR49" t="s">
        <v>84</v>
      </c>
      <c r="BS49" s="3">
        <v>45874</v>
      </c>
      <c r="BT49" s="4">
        <v>0.51944444444444449</v>
      </c>
      <c r="BU49" t="s">
        <v>325</v>
      </c>
      <c r="BV49" t="s">
        <v>86</v>
      </c>
      <c r="BY49">
        <v>10875.41</v>
      </c>
      <c r="BZ49" t="s">
        <v>102</v>
      </c>
      <c r="CA49" t="s">
        <v>326</v>
      </c>
      <c r="CC49" t="s">
        <v>76</v>
      </c>
      <c r="CD49">
        <v>7975</v>
      </c>
      <c r="CE49" t="s">
        <v>116</v>
      </c>
      <c r="CF49" s="3">
        <v>45875</v>
      </c>
      <c r="CI49">
        <v>1</v>
      </c>
      <c r="CJ49">
        <v>1</v>
      </c>
      <c r="CK49">
        <v>22</v>
      </c>
      <c r="CL49" t="s">
        <v>90</v>
      </c>
    </row>
    <row r="50" spans="1:90" x14ac:dyDescent="0.3">
      <c r="A50" t="s">
        <v>72</v>
      </c>
      <c r="B50" t="s">
        <v>73</v>
      </c>
      <c r="C50" t="s">
        <v>74</v>
      </c>
      <c r="E50" t="str">
        <f>"GAB2027655"</f>
        <v>GAB2027655</v>
      </c>
      <c r="F50" s="3">
        <v>45873</v>
      </c>
      <c r="G50">
        <v>202605</v>
      </c>
      <c r="H50" t="s">
        <v>75</v>
      </c>
      <c r="I50" t="s">
        <v>76</v>
      </c>
      <c r="J50" t="s">
        <v>77</v>
      </c>
      <c r="K50" t="s">
        <v>78</v>
      </c>
      <c r="L50" t="s">
        <v>327</v>
      </c>
      <c r="M50" t="s">
        <v>328</v>
      </c>
      <c r="N50" t="s">
        <v>329</v>
      </c>
      <c r="O50" t="s">
        <v>100</v>
      </c>
      <c r="P50" t="str">
        <f>"INV-00119872 CT096439         "</f>
        <v xml:space="preserve">INV-00119872 CT096439         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43.78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1</v>
      </c>
      <c r="BI50">
        <v>1.2</v>
      </c>
      <c r="BJ50">
        <v>1.7</v>
      </c>
      <c r="BK50">
        <v>2</v>
      </c>
      <c r="BL50">
        <v>137.94</v>
      </c>
      <c r="BM50">
        <v>20.69</v>
      </c>
      <c r="BN50">
        <v>158.63</v>
      </c>
      <c r="BO50">
        <v>158.63</v>
      </c>
      <c r="BQ50" t="s">
        <v>330</v>
      </c>
      <c r="BR50" t="s">
        <v>84</v>
      </c>
      <c r="BS50" s="3">
        <v>45874</v>
      </c>
      <c r="BT50" s="4">
        <v>0.41666666666666669</v>
      </c>
      <c r="BU50" t="s">
        <v>331</v>
      </c>
      <c r="BV50" t="s">
        <v>86</v>
      </c>
      <c r="BY50">
        <v>8408.8799999999992</v>
      </c>
      <c r="BZ50" t="s">
        <v>102</v>
      </c>
      <c r="CA50" t="s">
        <v>332</v>
      </c>
      <c r="CC50" t="s">
        <v>328</v>
      </c>
      <c r="CD50">
        <v>9700</v>
      </c>
      <c r="CE50" t="s">
        <v>265</v>
      </c>
      <c r="CF50" s="3">
        <v>45874</v>
      </c>
      <c r="CI50">
        <v>2</v>
      </c>
      <c r="CJ50">
        <v>1</v>
      </c>
      <c r="CK50">
        <v>23</v>
      </c>
      <c r="CL50" t="s">
        <v>90</v>
      </c>
    </row>
    <row r="51" spans="1:90" x14ac:dyDescent="0.3">
      <c r="A51" t="s">
        <v>72</v>
      </c>
      <c r="B51" t="s">
        <v>73</v>
      </c>
      <c r="C51" t="s">
        <v>74</v>
      </c>
      <c r="E51" t="str">
        <f>"GAB2027657"</f>
        <v>GAB2027657</v>
      </c>
      <c r="F51" s="3">
        <v>45873</v>
      </c>
      <c r="G51">
        <v>202605</v>
      </c>
      <c r="H51" t="s">
        <v>75</v>
      </c>
      <c r="I51" t="s">
        <v>76</v>
      </c>
      <c r="J51" t="s">
        <v>77</v>
      </c>
      <c r="K51" t="s">
        <v>78</v>
      </c>
      <c r="L51" t="s">
        <v>75</v>
      </c>
      <c r="M51" t="s">
        <v>76</v>
      </c>
      <c r="N51" t="s">
        <v>224</v>
      </c>
      <c r="O51" t="s">
        <v>100</v>
      </c>
      <c r="P51" t="str">
        <f>"INV-00119888 00119883 00119835"</f>
        <v>INV-00119888 00119883 00119835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17.649999999999999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1</v>
      </c>
      <c r="BI51">
        <v>1.5</v>
      </c>
      <c r="BJ51">
        <v>2.4</v>
      </c>
      <c r="BK51">
        <v>3</v>
      </c>
      <c r="BL51">
        <v>55.61</v>
      </c>
      <c r="BM51">
        <v>8.34</v>
      </c>
      <c r="BN51">
        <v>63.95</v>
      </c>
      <c r="BO51">
        <v>63.95</v>
      </c>
      <c r="BQ51" t="s">
        <v>225</v>
      </c>
      <c r="BR51" t="s">
        <v>84</v>
      </c>
      <c r="BS51" s="3">
        <v>45874</v>
      </c>
      <c r="BT51" s="4">
        <v>0.37361111111111112</v>
      </c>
      <c r="BU51" t="s">
        <v>333</v>
      </c>
      <c r="BV51" t="s">
        <v>86</v>
      </c>
      <c r="BY51">
        <v>11880.96</v>
      </c>
      <c r="BZ51" t="s">
        <v>102</v>
      </c>
      <c r="CA51" t="s">
        <v>334</v>
      </c>
      <c r="CC51" t="s">
        <v>76</v>
      </c>
      <c r="CD51">
        <v>7700</v>
      </c>
      <c r="CE51" t="s">
        <v>335</v>
      </c>
      <c r="CF51" s="3">
        <v>45875</v>
      </c>
      <c r="CI51">
        <v>1</v>
      </c>
      <c r="CJ51">
        <v>1</v>
      </c>
      <c r="CK51">
        <v>22</v>
      </c>
      <c r="CL51" t="s">
        <v>90</v>
      </c>
    </row>
    <row r="52" spans="1:90" x14ac:dyDescent="0.3">
      <c r="A52" t="s">
        <v>72</v>
      </c>
      <c r="B52" t="s">
        <v>73</v>
      </c>
      <c r="C52" t="s">
        <v>74</v>
      </c>
      <c r="E52" t="str">
        <f>"GAB2027659"</f>
        <v>GAB2027659</v>
      </c>
      <c r="F52" s="3">
        <v>45873</v>
      </c>
      <c r="G52">
        <v>202605</v>
      </c>
      <c r="H52" t="s">
        <v>75</v>
      </c>
      <c r="I52" t="s">
        <v>76</v>
      </c>
      <c r="J52" t="s">
        <v>77</v>
      </c>
      <c r="K52" t="s">
        <v>78</v>
      </c>
      <c r="L52" t="s">
        <v>190</v>
      </c>
      <c r="M52" t="s">
        <v>191</v>
      </c>
      <c r="N52" t="s">
        <v>336</v>
      </c>
      <c r="O52" t="s">
        <v>100</v>
      </c>
      <c r="P52" t="str">
        <f>"inv-00037157 034034           "</f>
        <v xml:space="preserve">inv-00037157 034034           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28.24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1</v>
      </c>
      <c r="BI52">
        <v>1.1000000000000001</v>
      </c>
      <c r="BJ52">
        <v>2.5</v>
      </c>
      <c r="BK52">
        <v>2.5</v>
      </c>
      <c r="BL52">
        <v>88.98</v>
      </c>
      <c r="BM52">
        <v>13.35</v>
      </c>
      <c r="BN52">
        <v>102.33</v>
      </c>
      <c r="BO52">
        <v>102.33</v>
      </c>
      <c r="BQ52" t="s">
        <v>337</v>
      </c>
      <c r="BR52" t="s">
        <v>84</v>
      </c>
      <c r="BS52" s="3">
        <v>45874</v>
      </c>
      <c r="BT52" s="4">
        <v>0.32291666666666669</v>
      </c>
      <c r="BU52" t="s">
        <v>338</v>
      </c>
      <c r="BV52" t="s">
        <v>86</v>
      </c>
      <c r="BY52">
        <v>12275.2</v>
      </c>
      <c r="BZ52" t="s">
        <v>102</v>
      </c>
      <c r="CA52" t="s">
        <v>339</v>
      </c>
      <c r="CC52" t="s">
        <v>191</v>
      </c>
      <c r="CD52" s="5" t="s">
        <v>196</v>
      </c>
      <c r="CE52" t="s">
        <v>109</v>
      </c>
      <c r="CF52" s="3">
        <v>45874</v>
      </c>
      <c r="CI52">
        <v>1</v>
      </c>
      <c r="CJ52">
        <v>1</v>
      </c>
      <c r="CK52">
        <v>21</v>
      </c>
      <c r="CL52" t="s">
        <v>90</v>
      </c>
    </row>
    <row r="53" spans="1:90" x14ac:dyDescent="0.3">
      <c r="A53" t="s">
        <v>72</v>
      </c>
      <c r="B53" t="s">
        <v>73</v>
      </c>
      <c r="C53" t="s">
        <v>74</v>
      </c>
      <c r="E53" t="str">
        <f>"GAB2027660"</f>
        <v>GAB2027660</v>
      </c>
      <c r="F53" s="3">
        <v>45873</v>
      </c>
      <c r="G53">
        <v>202605</v>
      </c>
      <c r="H53" t="s">
        <v>75</v>
      </c>
      <c r="I53" t="s">
        <v>76</v>
      </c>
      <c r="J53" t="s">
        <v>77</v>
      </c>
      <c r="K53" t="s">
        <v>78</v>
      </c>
      <c r="L53" t="s">
        <v>75</v>
      </c>
      <c r="M53" t="s">
        <v>76</v>
      </c>
      <c r="N53" t="s">
        <v>340</v>
      </c>
      <c r="O53" t="s">
        <v>100</v>
      </c>
      <c r="P53" t="str">
        <f>"INV-00038155 035181           "</f>
        <v xml:space="preserve">INV-00038155 035181           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17.649999999999999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1</v>
      </c>
      <c r="BI53">
        <v>0.7</v>
      </c>
      <c r="BJ53">
        <v>2.2000000000000002</v>
      </c>
      <c r="BK53">
        <v>3</v>
      </c>
      <c r="BL53">
        <v>55.61</v>
      </c>
      <c r="BM53">
        <v>8.34</v>
      </c>
      <c r="BN53">
        <v>63.95</v>
      </c>
      <c r="BO53">
        <v>63.95</v>
      </c>
      <c r="BQ53" t="s">
        <v>341</v>
      </c>
      <c r="BR53" t="s">
        <v>84</v>
      </c>
      <c r="BS53" s="3">
        <v>45874</v>
      </c>
      <c r="BT53" s="4">
        <v>0.38750000000000001</v>
      </c>
      <c r="BU53" t="s">
        <v>342</v>
      </c>
      <c r="BV53" t="s">
        <v>86</v>
      </c>
      <c r="BY53">
        <v>10942.56</v>
      </c>
      <c r="BZ53" t="s">
        <v>102</v>
      </c>
      <c r="CA53" t="s">
        <v>343</v>
      </c>
      <c r="CC53" t="s">
        <v>76</v>
      </c>
      <c r="CD53">
        <v>7460</v>
      </c>
      <c r="CE53" t="s">
        <v>344</v>
      </c>
      <c r="CF53" s="3">
        <v>45875</v>
      </c>
      <c r="CI53">
        <v>1</v>
      </c>
      <c r="CJ53">
        <v>1</v>
      </c>
      <c r="CK53">
        <v>22</v>
      </c>
      <c r="CL53" t="s">
        <v>90</v>
      </c>
    </row>
    <row r="54" spans="1:90" x14ac:dyDescent="0.3">
      <c r="A54" t="s">
        <v>72</v>
      </c>
      <c r="B54" t="s">
        <v>73</v>
      </c>
      <c r="C54" t="s">
        <v>74</v>
      </c>
      <c r="E54" t="str">
        <f>"009944868279"</f>
        <v>009944868279</v>
      </c>
      <c r="F54" s="3">
        <v>45873</v>
      </c>
      <c r="G54">
        <v>202605</v>
      </c>
      <c r="H54" t="s">
        <v>345</v>
      </c>
      <c r="I54" t="s">
        <v>346</v>
      </c>
      <c r="J54" t="s">
        <v>257</v>
      </c>
      <c r="K54" t="s">
        <v>78</v>
      </c>
      <c r="L54" t="s">
        <v>75</v>
      </c>
      <c r="M54" t="s">
        <v>76</v>
      </c>
      <c r="N54" t="s">
        <v>257</v>
      </c>
      <c r="O54" t="s">
        <v>100</v>
      </c>
      <c r="P54" t="str">
        <f>"                              "</f>
        <v xml:space="preserve">                              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22.6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1</v>
      </c>
      <c r="BI54">
        <v>1</v>
      </c>
      <c r="BJ54">
        <v>0.2</v>
      </c>
      <c r="BK54">
        <v>1</v>
      </c>
      <c r="BL54">
        <v>71.2</v>
      </c>
      <c r="BM54">
        <v>10.68</v>
      </c>
      <c r="BN54">
        <v>81.88</v>
      </c>
      <c r="BO54">
        <v>81.88</v>
      </c>
      <c r="BQ54" t="s">
        <v>347</v>
      </c>
      <c r="BR54" t="s">
        <v>348</v>
      </c>
      <c r="BS54" s="3">
        <v>45880</v>
      </c>
      <c r="BT54" s="4">
        <v>0.52569444444444446</v>
      </c>
      <c r="BU54" t="s">
        <v>349</v>
      </c>
      <c r="BV54" t="s">
        <v>90</v>
      </c>
      <c r="BW54" t="s">
        <v>156</v>
      </c>
      <c r="BX54" t="s">
        <v>350</v>
      </c>
      <c r="BY54">
        <v>1200</v>
      </c>
      <c r="BZ54" t="s">
        <v>102</v>
      </c>
      <c r="CA54" t="s">
        <v>351</v>
      </c>
      <c r="CC54" t="s">
        <v>76</v>
      </c>
      <c r="CD54">
        <v>8000</v>
      </c>
      <c r="CE54" t="s">
        <v>352</v>
      </c>
      <c r="CF54" s="3">
        <v>45881</v>
      </c>
      <c r="CI54">
        <v>2</v>
      </c>
      <c r="CJ54">
        <v>5</v>
      </c>
      <c r="CK54">
        <v>21</v>
      </c>
      <c r="CL54" t="s">
        <v>90</v>
      </c>
    </row>
    <row r="55" spans="1:90" x14ac:dyDescent="0.3">
      <c r="A55" t="s">
        <v>72</v>
      </c>
      <c r="B55" t="s">
        <v>73</v>
      </c>
      <c r="C55" t="s">
        <v>74</v>
      </c>
      <c r="E55" t="str">
        <f>"009945156767"</f>
        <v>009945156767</v>
      </c>
      <c r="F55" s="3">
        <v>45874</v>
      </c>
      <c r="G55">
        <v>202605</v>
      </c>
      <c r="H55" t="s">
        <v>79</v>
      </c>
      <c r="I55" t="s">
        <v>80</v>
      </c>
      <c r="J55" t="s">
        <v>257</v>
      </c>
      <c r="K55" t="s">
        <v>78</v>
      </c>
      <c r="L55" t="s">
        <v>75</v>
      </c>
      <c r="M55" t="s">
        <v>76</v>
      </c>
      <c r="N55" t="s">
        <v>353</v>
      </c>
      <c r="O55" t="s">
        <v>100</v>
      </c>
      <c r="P55" t="str">
        <f>"NO REF                        "</f>
        <v xml:space="preserve">NO REF                        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22.6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1</v>
      </c>
      <c r="BI55">
        <v>1</v>
      </c>
      <c r="BJ55">
        <v>0.2</v>
      </c>
      <c r="BK55">
        <v>1</v>
      </c>
      <c r="BL55">
        <v>71.2</v>
      </c>
      <c r="BM55">
        <v>10.68</v>
      </c>
      <c r="BN55">
        <v>81.88</v>
      </c>
      <c r="BO55">
        <v>81.88</v>
      </c>
      <c r="BQ55" t="s">
        <v>347</v>
      </c>
      <c r="BR55" t="s">
        <v>354</v>
      </c>
      <c r="BS55" s="3">
        <v>45875</v>
      </c>
      <c r="BT55" s="4">
        <v>0.42638888888888887</v>
      </c>
      <c r="BU55" t="s">
        <v>349</v>
      </c>
      <c r="BV55" t="s">
        <v>86</v>
      </c>
      <c r="BY55">
        <v>1200</v>
      </c>
      <c r="BZ55" t="s">
        <v>102</v>
      </c>
      <c r="CA55" t="s">
        <v>351</v>
      </c>
      <c r="CC55" t="s">
        <v>76</v>
      </c>
      <c r="CD55">
        <v>7460</v>
      </c>
      <c r="CE55" t="s">
        <v>355</v>
      </c>
      <c r="CF55" s="3">
        <v>45876</v>
      </c>
      <c r="CI55">
        <v>1</v>
      </c>
      <c r="CJ55">
        <v>1</v>
      </c>
      <c r="CK55">
        <v>21</v>
      </c>
      <c r="CL55" t="s">
        <v>90</v>
      </c>
    </row>
    <row r="56" spans="1:90" x14ac:dyDescent="0.3">
      <c r="A56" t="s">
        <v>72</v>
      </c>
      <c r="B56" t="s">
        <v>73</v>
      </c>
      <c r="C56" t="s">
        <v>74</v>
      </c>
      <c r="E56" t="str">
        <f>"GAB2027666"</f>
        <v>GAB2027666</v>
      </c>
      <c r="F56" s="3">
        <v>45874</v>
      </c>
      <c r="G56">
        <v>202605</v>
      </c>
      <c r="H56" t="s">
        <v>75</v>
      </c>
      <c r="I56" t="s">
        <v>76</v>
      </c>
      <c r="J56" t="s">
        <v>77</v>
      </c>
      <c r="K56" t="s">
        <v>78</v>
      </c>
      <c r="L56" t="s">
        <v>118</v>
      </c>
      <c r="M56" t="s">
        <v>119</v>
      </c>
      <c r="N56" t="s">
        <v>356</v>
      </c>
      <c r="O56" t="s">
        <v>82</v>
      </c>
      <c r="P56" t="str">
        <f>"00038170 034569               "</f>
        <v xml:space="preserve">00038170 034569               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5.87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43.7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1</v>
      </c>
      <c r="BI56">
        <v>4.7</v>
      </c>
      <c r="BJ56">
        <v>12.1</v>
      </c>
      <c r="BK56">
        <v>13</v>
      </c>
      <c r="BL56">
        <v>143.55000000000001</v>
      </c>
      <c r="BM56">
        <v>21.53</v>
      </c>
      <c r="BN56">
        <v>165.08</v>
      </c>
      <c r="BO56">
        <v>165.08</v>
      </c>
      <c r="BQ56" t="s">
        <v>357</v>
      </c>
      <c r="BR56" t="s">
        <v>84</v>
      </c>
      <c r="BS56" s="3">
        <v>45877</v>
      </c>
      <c r="BT56" s="4">
        <v>0.41041666666666665</v>
      </c>
      <c r="BU56" t="s">
        <v>358</v>
      </c>
      <c r="BV56" t="s">
        <v>86</v>
      </c>
      <c r="BY56">
        <v>60505.599999999999</v>
      </c>
      <c r="CA56" t="s">
        <v>359</v>
      </c>
      <c r="CC56" t="s">
        <v>119</v>
      </c>
      <c r="CD56" s="5" t="s">
        <v>360</v>
      </c>
      <c r="CE56" t="s">
        <v>361</v>
      </c>
      <c r="CF56" s="3">
        <v>45877</v>
      </c>
      <c r="CI56">
        <v>3</v>
      </c>
      <c r="CJ56">
        <v>3</v>
      </c>
      <c r="CK56">
        <v>41</v>
      </c>
      <c r="CL56" t="s">
        <v>90</v>
      </c>
    </row>
    <row r="57" spans="1:90" x14ac:dyDescent="0.3">
      <c r="A57" t="s">
        <v>72</v>
      </c>
      <c r="B57" t="s">
        <v>73</v>
      </c>
      <c r="C57" t="s">
        <v>74</v>
      </c>
      <c r="E57" t="str">
        <f>"GAB2027668"</f>
        <v>GAB2027668</v>
      </c>
      <c r="F57" s="3">
        <v>45874</v>
      </c>
      <c r="G57">
        <v>202605</v>
      </c>
      <c r="H57" t="s">
        <v>75</v>
      </c>
      <c r="I57" t="s">
        <v>76</v>
      </c>
      <c r="J57" t="s">
        <v>77</v>
      </c>
      <c r="K57" t="s">
        <v>78</v>
      </c>
      <c r="L57" t="s">
        <v>159</v>
      </c>
      <c r="M57" t="s">
        <v>159</v>
      </c>
      <c r="N57" t="s">
        <v>160</v>
      </c>
      <c r="O57" t="s">
        <v>82</v>
      </c>
      <c r="P57" t="str">
        <f>"00119892 096454               "</f>
        <v xml:space="preserve">00119892 096454               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5.87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48.26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1</v>
      </c>
      <c r="BI57">
        <v>1.9</v>
      </c>
      <c r="BJ57">
        <v>6.5</v>
      </c>
      <c r="BK57">
        <v>7</v>
      </c>
      <c r="BL57">
        <v>157.91999999999999</v>
      </c>
      <c r="BM57">
        <v>23.69</v>
      </c>
      <c r="BN57">
        <v>181.61</v>
      </c>
      <c r="BO57">
        <v>181.61</v>
      </c>
      <c r="BQ57" t="s">
        <v>362</v>
      </c>
      <c r="BR57" t="s">
        <v>84</v>
      </c>
      <c r="BS57" s="3">
        <v>45876</v>
      </c>
      <c r="BT57" s="4">
        <v>0.71180555555555558</v>
      </c>
      <c r="BU57" t="s">
        <v>363</v>
      </c>
      <c r="BV57" t="s">
        <v>90</v>
      </c>
      <c r="BW57" t="s">
        <v>156</v>
      </c>
      <c r="BX57" t="s">
        <v>364</v>
      </c>
      <c r="BY57">
        <v>32743.75</v>
      </c>
      <c r="CC57" t="s">
        <v>159</v>
      </c>
      <c r="CD57">
        <v>7646</v>
      </c>
      <c r="CE57" t="s">
        <v>361</v>
      </c>
      <c r="CF57" s="3">
        <v>45876</v>
      </c>
      <c r="CI57">
        <v>0</v>
      </c>
      <c r="CJ57">
        <v>0</v>
      </c>
      <c r="CK57">
        <v>44</v>
      </c>
      <c r="CL57" t="s">
        <v>90</v>
      </c>
    </row>
    <row r="58" spans="1:90" x14ac:dyDescent="0.3">
      <c r="A58" t="s">
        <v>72</v>
      </c>
      <c r="B58" t="s">
        <v>73</v>
      </c>
      <c r="C58" t="s">
        <v>74</v>
      </c>
      <c r="E58" t="str">
        <f>"GAB2027674"</f>
        <v>GAB2027674</v>
      </c>
      <c r="F58" s="3">
        <v>45874</v>
      </c>
      <c r="G58">
        <v>202605</v>
      </c>
      <c r="H58" t="s">
        <v>75</v>
      </c>
      <c r="I58" t="s">
        <v>76</v>
      </c>
      <c r="J58" t="s">
        <v>77</v>
      </c>
      <c r="K58" t="s">
        <v>78</v>
      </c>
      <c r="L58" t="s">
        <v>365</v>
      </c>
      <c r="M58" t="s">
        <v>365</v>
      </c>
      <c r="N58" t="s">
        <v>366</v>
      </c>
      <c r="O58" t="s">
        <v>82</v>
      </c>
      <c r="P58" t="str">
        <f>"00119908 096470               "</f>
        <v xml:space="preserve">00119908 096470               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5.87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61.64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1</v>
      </c>
      <c r="BI58">
        <v>4.2</v>
      </c>
      <c r="BJ58">
        <v>12.9</v>
      </c>
      <c r="BK58">
        <v>13</v>
      </c>
      <c r="BL58">
        <v>200.06</v>
      </c>
      <c r="BM58">
        <v>30.01</v>
      </c>
      <c r="BN58">
        <v>230.07</v>
      </c>
      <c r="BO58">
        <v>230.07</v>
      </c>
      <c r="BQ58" t="s">
        <v>175</v>
      </c>
      <c r="BR58" t="s">
        <v>84</v>
      </c>
      <c r="BS58" s="3">
        <v>45876</v>
      </c>
      <c r="BT58" s="4">
        <v>0.4236111111111111</v>
      </c>
      <c r="BU58" t="s">
        <v>367</v>
      </c>
      <c r="BV58" t="s">
        <v>86</v>
      </c>
      <c r="BY58">
        <v>64508.76</v>
      </c>
      <c r="CA58" t="s">
        <v>368</v>
      </c>
      <c r="CC58" t="s">
        <v>365</v>
      </c>
      <c r="CD58">
        <v>5700</v>
      </c>
      <c r="CE58" t="s">
        <v>361</v>
      </c>
      <c r="CF58" s="3">
        <v>45880</v>
      </c>
      <c r="CI58">
        <v>4</v>
      </c>
      <c r="CJ58">
        <v>2</v>
      </c>
      <c r="CK58">
        <v>43</v>
      </c>
      <c r="CL58" t="s">
        <v>90</v>
      </c>
    </row>
    <row r="59" spans="1:90" x14ac:dyDescent="0.3">
      <c r="A59" t="s">
        <v>72</v>
      </c>
      <c r="B59" t="s">
        <v>73</v>
      </c>
      <c r="C59" t="s">
        <v>74</v>
      </c>
      <c r="E59" t="str">
        <f>"GAB2027675"</f>
        <v>GAB2027675</v>
      </c>
      <c r="F59" s="3">
        <v>45874</v>
      </c>
      <c r="G59">
        <v>202605</v>
      </c>
      <c r="H59" t="s">
        <v>75</v>
      </c>
      <c r="I59" t="s">
        <v>76</v>
      </c>
      <c r="J59" t="s">
        <v>77</v>
      </c>
      <c r="K59" t="s">
        <v>78</v>
      </c>
      <c r="L59" t="s">
        <v>91</v>
      </c>
      <c r="M59" t="s">
        <v>92</v>
      </c>
      <c r="N59" t="s">
        <v>369</v>
      </c>
      <c r="O59" t="s">
        <v>82</v>
      </c>
      <c r="P59" t="str">
        <f>"00119912 096471               "</f>
        <v xml:space="preserve">00119912 096471               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5.87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43.7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1</v>
      </c>
      <c r="BI59">
        <v>3.6</v>
      </c>
      <c r="BJ59">
        <v>5.9</v>
      </c>
      <c r="BK59">
        <v>6</v>
      </c>
      <c r="BL59">
        <v>143.55000000000001</v>
      </c>
      <c r="BM59">
        <v>21.53</v>
      </c>
      <c r="BN59">
        <v>165.08</v>
      </c>
      <c r="BO59">
        <v>165.08</v>
      </c>
      <c r="BQ59" t="s">
        <v>370</v>
      </c>
      <c r="BR59" t="s">
        <v>84</v>
      </c>
      <c r="BS59" s="3">
        <v>45877</v>
      </c>
      <c r="BT59" s="4">
        <v>0.52222222222222225</v>
      </c>
      <c r="BU59" t="s">
        <v>371</v>
      </c>
      <c r="BV59" t="s">
        <v>86</v>
      </c>
      <c r="BY59">
        <v>29494.02</v>
      </c>
      <c r="CA59" t="s">
        <v>372</v>
      </c>
      <c r="CC59" t="s">
        <v>92</v>
      </c>
      <c r="CD59">
        <v>4001</v>
      </c>
      <c r="CE59" t="s">
        <v>361</v>
      </c>
      <c r="CF59" s="3">
        <v>45878</v>
      </c>
      <c r="CI59">
        <v>3</v>
      </c>
      <c r="CJ59">
        <v>3</v>
      </c>
      <c r="CK59">
        <v>41</v>
      </c>
      <c r="CL59" t="s">
        <v>90</v>
      </c>
    </row>
    <row r="60" spans="1:90" x14ac:dyDescent="0.3">
      <c r="A60" t="s">
        <v>72</v>
      </c>
      <c r="B60" t="s">
        <v>73</v>
      </c>
      <c r="C60" t="s">
        <v>74</v>
      </c>
      <c r="E60" t="str">
        <f>"GAB2027676"</f>
        <v>GAB2027676</v>
      </c>
      <c r="F60" s="3">
        <v>45874</v>
      </c>
      <c r="G60">
        <v>202605</v>
      </c>
      <c r="H60" t="s">
        <v>75</v>
      </c>
      <c r="I60" t="s">
        <v>76</v>
      </c>
      <c r="J60" t="s">
        <v>77</v>
      </c>
      <c r="K60" t="s">
        <v>78</v>
      </c>
      <c r="L60" t="s">
        <v>373</v>
      </c>
      <c r="M60" t="s">
        <v>374</v>
      </c>
      <c r="N60" t="s">
        <v>375</v>
      </c>
      <c r="O60" t="s">
        <v>82</v>
      </c>
      <c r="P60" t="str">
        <f>"00119911 096472               "</f>
        <v xml:space="preserve">00119911 096472               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5.87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61.64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1</v>
      </c>
      <c r="BI60">
        <v>3.6</v>
      </c>
      <c r="BJ60">
        <v>12.5</v>
      </c>
      <c r="BK60">
        <v>13</v>
      </c>
      <c r="BL60">
        <v>200.06</v>
      </c>
      <c r="BM60">
        <v>30.01</v>
      </c>
      <c r="BN60">
        <v>230.07</v>
      </c>
      <c r="BO60">
        <v>230.07</v>
      </c>
      <c r="BQ60" t="s">
        <v>376</v>
      </c>
      <c r="BR60" t="s">
        <v>84</v>
      </c>
      <c r="BS60" s="3">
        <v>45876</v>
      </c>
      <c r="BT60" s="4">
        <v>0.375</v>
      </c>
      <c r="BU60" t="s">
        <v>377</v>
      </c>
      <c r="BV60" t="s">
        <v>86</v>
      </c>
      <c r="BY60">
        <v>62390.6</v>
      </c>
      <c r="CC60" t="s">
        <v>374</v>
      </c>
      <c r="CD60">
        <v>9499</v>
      </c>
      <c r="CE60" t="s">
        <v>361</v>
      </c>
      <c r="CF60" s="3">
        <v>45877</v>
      </c>
      <c r="CI60">
        <v>4</v>
      </c>
      <c r="CJ60">
        <v>2</v>
      </c>
      <c r="CK60">
        <v>43</v>
      </c>
      <c r="CL60" t="s">
        <v>90</v>
      </c>
    </row>
    <row r="61" spans="1:90" x14ac:dyDescent="0.3">
      <c r="A61" t="s">
        <v>72</v>
      </c>
      <c r="B61" t="s">
        <v>73</v>
      </c>
      <c r="C61" t="s">
        <v>74</v>
      </c>
      <c r="E61" t="str">
        <f>"GAB2027678"</f>
        <v>GAB2027678</v>
      </c>
      <c r="F61" s="3">
        <v>45874</v>
      </c>
      <c r="G61">
        <v>202605</v>
      </c>
      <c r="H61" t="s">
        <v>75</v>
      </c>
      <c r="I61" t="s">
        <v>76</v>
      </c>
      <c r="J61" t="s">
        <v>77</v>
      </c>
      <c r="K61" t="s">
        <v>78</v>
      </c>
      <c r="L61" t="s">
        <v>91</v>
      </c>
      <c r="M61" t="s">
        <v>92</v>
      </c>
      <c r="N61" t="s">
        <v>378</v>
      </c>
      <c r="O61" t="s">
        <v>82</v>
      </c>
      <c r="P61" t="str">
        <f>"00119914 096467               "</f>
        <v xml:space="preserve">00119914 096467               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5.87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43.7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1</v>
      </c>
      <c r="BI61">
        <v>4.4000000000000004</v>
      </c>
      <c r="BJ61">
        <v>12.2</v>
      </c>
      <c r="BK61">
        <v>13</v>
      </c>
      <c r="BL61">
        <v>143.55000000000001</v>
      </c>
      <c r="BM61">
        <v>21.53</v>
      </c>
      <c r="BN61">
        <v>165.08</v>
      </c>
      <c r="BO61">
        <v>165.08</v>
      </c>
      <c r="BQ61" t="s">
        <v>379</v>
      </c>
      <c r="BR61" t="s">
        <v>84</v>
      </c>
      <c r="BS61" s="3">
        <v>45877</v>
      </c>
      <c r="BT61" s="4">
        <v>0.51597222222222228</v>
      </c>
      <c r="BU61" t="s">
        <v>380</v>
      </c>
      <c r="BV61" t="s">
        <v>86</v>
      </c>
      <c r="BY61">
        <v>60885</v>
      </c>
      <c r="CA61" t="s">
        <v>381</v>
      </c>
      <c r="CC61" t="s">
        <v>92</v>
      </c>
      <c r="CD61">
        <v>4001</v>
      </c>
      <c r="CE61" t="s">
        <v>171</v>
      </c>
      <c r="CF61" s="3">
        <v>45877</v>
      </c>
      <c r="CI61">
        <v>3</v>
      </c>
      <c r="CJ61">
        <v>3</v>
      </c>
      <c r="CK61">
        <v>41</v>
      </c>
      <c r="CL61" t="s">
        <v>90</v>
      </c>
    </row>
    <row r="62" spans="1:90" x14ac:dyDescent="0.3">
      <c r="A62" t="s">
        <v>72</v>
      </c>
      <c r="B62" t="s">
        <v>73</v>
      </c>
      <c r="C62" t="s">
        <v>74</v>
      </c>
      <c r="E62" t="str">
        <f>"GAB2027679"</f>
        <v>GAB2027679</v>
      </c>
      <c r="F62" s="3">
        <v>45874</v>
      </c>
      <c r="G62">
        <v>202605</v>
      </c>
      <c r="H62" t="s">
        <v>75</v>
      </c>
      <c r="I62" t="s">
        <v>76</v>
      </c>
      <c r="J62" t="s">
        <v>77</v>
      </c>
      <c r="K62" t="s">
        <v>78</v>
      </c>
      <c r="L62" t="s">
        <v>91</v>
      </c>
      <c r="M62" t="s">
        <v>92</v>
      </c>
      <c r="N62" t="s">
        <v>382</v>
      </c>
      <c r="O62" t="s">
        <v>82</v>
      </c>
      <c r="P62" t="str">
        <f>"00119915 096468               "</f>
        <v xml:space="preserve">00119915 096468               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5.87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68.959999999999994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2</v>
      </c>
      <c r="BI62">
        <v>8.6999999999999993</v>
      </c>
      <c r="BJ62">
        <v>28.2</v>
      </c>
      <c r="BK62">
        <v>29</v>
      </c>
      <c r="BL62">
        <v>223.13</v>
      </c>
      <c r="BM62">
        <v>33.47</v>
      </c>
      <c r="BN62">
        <v>256.60000000000002</v>
      </c>
      <c r="BO62">
        <v>256.60000000000002</v>
      </c>
      <c r="BQ62" t="s">
        <v>383</v>
      </c>
      <c r="BR62" t="s">
        <v>84</v>
      </c>
      <c r="BS62" s="3">
        <v>45877</v>
      </c>
      <c r="BT62" s="4">
        <v>0.47013888888888888</v>
      </c>
      <c r="BU62" t="s">
        <v>384</v>
      </c>
      <c r="BV62" t="s">
        <v>86</v>
      </c>
      <c r="BY62">
        <v>141018.75</v>
      </c>
      <c r="CA62" t="s">
        <v>385</v>
      </c>
      <c r="CC62" t="s">
        <v>92</v>
      </c>
      <c r="CD62">
        <v>4001</v>
      </c>
      <c r="CE62" t="s">
        <v>386</v>
      </c>
      <c r="CF62" s="3">
        <v>45878</v>
      </c>
      <c r="CI62">
        <v>3</v>
      </c>
      <c r="CJ62">
        <v>3</v>
      </c>
      <c r="CK62">
        <v>41</v>
      </c>
      <c r="CL62" t="s">
        <v>90</v>
      </c>
    </row>
    <row r="63" spans="1:90" x14ac:dyDescent="0.3">
      <c r="A63" t="s">
        <v>72</v>
      </c>
      <c r="B63" t="s">
        <v>73</v>
      </c>
      <c r="C63" t="s">
        <v>74</v>
      </c>
      <c r="E63" t="str">
        <f>"GAB2027689"</f>
        <v>GAB2027689</v>
      </c>
      <c r="F63" s="3">
        <v>45874</v>
      </c>
      <c r="G63">
        <v>202605</v>
      </c>
      <c r="H63" t="s">
        <v>75</v>
      </c>
      <c r="I63" t="s">
        <v>76</v>
      </c>
      <c r="J63" t="s">
        <v>77</v>
      </c>
      <c r="K63" t="s">
        <v>78</v>
      </c>
      <c r="L63" t="s">
        <v>190</v>
      </c>
      <c r="M63" t="s">
        <v>191</v>
      </c>
      <c r="N63" t="s">
        <v>192</v>
      </c>
      <c r="O63" t="s">
        <v>82</v>
      </c>
      <c r="P63" t="str">
        <f>"00119904 096461               "</f>
        <v xml:space="preserve">00119904 096461               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5.87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74.37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2</v>
      </c>
      <c r="BI63">
        <v>14.8</v>
      </c>
      <c r="BJ63">
        <v>31.7</v>
      </c>
      <c r="BK63">
        <v>32</v>
      </c>
      <c r="BL63">
        <v>240.18</v>
      </c>
      <c r="BM63">
        <v>36.03</v>
      </c>
      <c r="BN63">
        <v>276.20999999999998</v>
      </c>
      <c r="BO63">
        <v>276.20999999999998</v>
      </c>
      <c r="BQ63" t="s">
        <v>387</v>
      </c>
      <c r="BR63" t="s">
        <v>84</v>
      </c>
      <c r="BS63" s="3">
        <v>45876</v>
      </c>
      <c r="BT63" s="4">
        <v>0.35833333333333334</v>
      </c>
      <c r="BU63" t="s">
        <v>388</v>
      </c>
      <c r="BV63" t="s">
        <v>86</v>
      </c>
      <c r="BY63">
        <v>158699.15</v>
      </c>
      <c r="CA63" t="s">
        <v>195</v>
      </c>
      <c r="CC63" t="s">
        <v>191</v>
      </c>
      <c r="CD63" s="5" t="s">
        <v>196</v>
      </c>
      <c r="CE63" t="s">
        <v>389</v>
      </c>
      <c r="CF63" s="3">
        <v>45876</v>
      </c>
      <c r="CI63">
        <v>3</v>
      </c>
      <c r="CJ63">
        <v>2</v>
      </c>
      <c r="CK63">
        <v>41</v>
      </c>
      <c r="CL63" t="s">
        <v>90</v>
      </c>
    </row>
    <row r="64" spans="1:90" x14ac:dyDescent="0.3">
      <c r="A64" t="s">
        <v>72</v>
      </c>
      <c r="B64" t="s">
        <v>73</v>
      </c>
      <c r="C64" t="s">
        <v>74</v>
      </c>
      <c r="E64" t="str">
        <f>"GAB2027693"</f>
        <v>GAB2027693</v>
      </c>
      <c r="F64" s="3">
        <v>45874</v>
      </c>
      <c r="G64">
        <v>202605</v>
      </c>
      <c r="H64" t="s">
        <v>75</v>
      </c>
      <c r="I64" t="s">
        <v>76</v>
      </c>
      <c r="J64" t="s">
        <v>77</v>
      </c>
      <c r="K64" t="s">
        <v>78</v>
      </c>
      <c r="L64" t="s">
        <v>390</v>
      </c>
      <c r="M64" t="s">
        <v>391</v>
      </c>
      <c r="N64" t="s">
        <v>392</v>
      </c>
      <c r="O64" t="s">
        <v>82</v>
      </c>
      <c r="P64" t="str">
        <f>"00119923 924 096407 408       "</f>
        <v xml:space="preserve">00119923 924 096407 408       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5.87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61.64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1</v>
      </c>
      <c r="BI64">
        <v>8.1999999999999993</v>
      </c>
      <c r="BJ64">
        <v>12.9</v>
      </c>
      <c r="BK64">
        <v>13</v>
      </c>
      <c r="BL64">
        <v>200.06</v>
      </c>
      <c r="BM64">
        <v>30.01</v>
      </c>
      <c r="BN64">
        <v>230.07</v>
      </c>
      <c r="BO64">
        <v>230.07</v>
      </c>
      <c r="BQ64" t="s">
        <v>393</v>
      </c>
      <c r="BR64" t="s">
        <v>84</v>
      </c>
      <c r="BS64" s="3">
        <v>45876</v>
      </c>
      <c r="BT64" s="4">
        <v>0.42638888888888887</v>
      </c>
      <c r="BU64" t="s">
        <v>394</v>
      </c>
      <c r="BV64" t="s">
        <v>86</v>
      </c>
      <c r="BY64">
        <v>64508.76</v>
      </c>
      <c r="CA64" t="s">
        <v>395</v>
      </c>
      <c r="CC64" t="s">
        <v>391</v>
      </c>
      <c r="CD64">
        <v>1739</v>
      </c>
      <c r="CE64" t="s">
        <v>396</v>
      </c>
      <c r="CF64" s="3">
        <v>45877</v>
      </c>
      <c r="CI64">
        <v>2</v>
      </c>
      <c r="CJ64">
        <v>2</v>
      </c>
      <c r="CK64">
        <v>43</v>
      </c>
      <c r="CL64" t="s">
        <v>90</v>
      </c>
    </row>
    <row r="65" spans="1:90" x14ac:dyDescent="0.3">
      <c r="A65" t="s">
        <v>72</v>
      </c>
      <c r="B65" t="s">
        <v>73</v>
      </c>
      <c r="C65" t="s">
        <v>74</v>
      </c>
      <c r="E65" t="str">
        <f>"GAB2027694"</f>
        <v>GAB2027694</v>
      </c>
      <c r="F65" s="3">
        <v>45874</v>
      </c>
      <c r="G65">
        <v>202605</v>
      </c>
      <c r="H65" t="s">
        <v>75</v>
      </c>
      <c r="I65" t="s">
        <v>76</v>
      </c>
      <c r="J65" t="s">
        <v>77</v>
      </c>
      <c r="K65" t="s">
        <v>78</v>
      </c>
      <c r="L65" t="s">
        <v>165</v>
      </c>
      <c r="M65" t="s">
        <v>166</v>
      </c>
      <c r="N65" t="s">
        <v>167</v>
      </c>
      <c r="O65" t="s">
        <v>82</v>
      </c>
      <c r="P65" t="str">
        <f>"00038212 035227               "</f>
        <v xml:space="preserve">00038212 035227               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5.87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61.64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1</v>
      </c>
      <c r="BI65">
        <v>3.7</v>
      </c>
      <c r="BJ65">
        <v>6.4</v>
      </c>
      <c r="BK65">
        <v>7</v>
      </c>
      <c r="BL65">
        <v>200.06</v>
      </c>
      <c r="BM65">
        <v>30.01</v>
      </c>
      <c r="BN65">
        <v>230.07</v>
      </c>
      <c r="BO65">
        <v>230.07</v>
      </c>
      <c r="BQ65" t="s">
        <v>168</v>
      </c>
      <c r="BR65" t="s">
        <v>84</v>
      </c>
      <c r="BS65" s="3">
        <v>45877</v>
      </c>
      <c r="BT65" s="4">
        <v>0.44444444444444442</v>
      </c>
      <c r="BU65" t="s">
        <v>397</v>
      </c>
      <c r="BV65" t="s">
        <v>86</v>
      </c>
      <c r="BY65">
        <v>32140.799999999999</v>
      </c>
      <c r="CC65" t="s">
        <v>166</v>
      </c>
      <c r="CD65">
        <v>2745</v>
      </c>
      <c r="CE65" t="s">
        <v>171</v>
      </c>
      <c r="CF65" s="3">
        <v>45880</v>
      </c>
      <c r="CI65">
        <v>2</v>
      </c>
      <c r="CJ65">
        <v>3</v>
      </c>
      <c r="CK65">
        <v>43</v>
      </c>
      <c r="CL65" t="s">
        <v>90</v>
      </c>
    </row>
    <row r="66" spans="1:90" x14ac:dyDescent="0.3">
      <c r="A66" t="s">
        <v>72</v>
      </c>
      <c r="B66" t="s">
        <v>73</v>
      </c>
      <c r="C66" t="s">
        <v>74</v>
      </c>
      <c r="E66" t="str">
        <f>"GAB2027696"</f>
        <v>GAB2027696</v>
      </c>
      <c r="F66" s="3">
        <v>45874</v>
      </c>
      <c r="G66">
        <v>202605</v>
      </c>
      <c r="H66" t="s">
        <v>75</v>
      </c>
      <c r="I66" t="s">
        <v>76</v>
      </c>
      <c r="J66" t="s">
        <v>77</v>
      </c>
      <c r="K66" t="s">
        <v>78</v>
      </c>
      <c r="L66" t="s">
        <v>190</v>
      </c>
      <c r="M66" t="s">
        <v>191</v>
      </c>
      <c r="N66" t="s">
        <v>398</v>
      </c>
      <c r="O66" t="s">
        <v>82</v>
      </c>
      <c r="P66" t="str">
        <f>"00119879 859 871 096353 435   "</f>
        <v xml:space="preserve">00119879 859 871 096353 435   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5.87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68.959999999999994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2</v>
      </c>
      <c r="BI66">
        <v>10.8</v>
      </c>
      <c r="BJ66">
        <v>29</v>
      </c>
      <c r="BK66">
        <v>29</v>
      </c>
      <c r="BL66">
        <v>223.13</v>
      </c>
      <c r="BM66">
        <v>33.47</v>
      </c>
      <c r="BN66">
        <v>256.60000000000002</v>
      </c>
      <c r="BO66">
        <v>256.60000000000002</v>
      </c>
      <c r="BQ66" t="s">
        <v>399</v>
      </c>
      <c r="BR66" t="s">
        <v>84</v>
      </c>
      <c r="BS66" s="3">
        <v>45876</v>
      </c>
      <c r="BT66" s="4">
        <v>0.35416666666666669</v>
      </c>
      <c r="BU66" t="s">
        <v>388</v>
      </c>
      <c r="BV66" t="s">
        <v>86</v>
      </c>
      <c r="BY66">
        <v>144943.87</v>
      </c>
      <c r="CA66" t="s">
        <v>195</v>
      </c>
      <c r="CC66" t="s">
        <v>191</v>
      </c>
      <c r="CD66" s="5" t="s">
        <v>196</v>
      </c>
      <c r="CE66" t="s">
        <v>389</v>
      </c>
      <c r="CF66" s="3">
        <v>45876</v>
      </c>
      <c r="CI66">
        <v>3</v>
      </c>
      <c r="CJ66">
        <v>2</v>
      </c>
      <c r="CK66">
        <v>41</v>
      </c>
      <c r="CL66" t="s">
        <v>90</v>
      </c>
    </row>
    <row r="67" spans="1:90" x14ac:dyDescent="0.3">
      <c r="A67" t="s">
        <v>72</v>
      </c>
      <c r="B67" t="s">
        <v>73</v>
      </c>
      <c r="C67" t="s">
        <v>74</v>
      </c>
      <c r="E67" t="str">
        <f>"GAB2027661"</f>
        <v>GAB2027661</v>
      </c>
      <c r="F67" s="3">
        <v>45874</v>
      </c>
      <c r="G67">
        <v>202605</v>
      </c>
      <c r="H67" t="s">
        <v>75</v>
      </c>
      <c r="I67" t="s">
        <v>76</v>
      </c>
      <c r="J67" t="s">
        <v>77</v>
      </c>
      <c r="K67" t="s">
        <v>78</v>
      </c>
      <c r="L67" t="s">
        <v>345</v>
      </c>
      <c r="M67" t="s">
        <v>346</v>
      </c>
      <c r="N67" t="s">
        <v>400</v>
      </c>
      <c r="O67" t="s">
        <v>100</v>
      </c>
      <c r="P67" t="str">
        <f>"00038173 035200               "</f>
        <v xml:space="preserve">00038173 035200               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28.24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1</v>
      </c>
      <c r="BI67">
        <v>0.8</v>
      </c>
      <c r="BJ67">
        <v>2.1</v>
      </c>
      <c r="BK67">
        <v>2.5</v>
      </c>
      <c r="BL67">
        <v>88.98</v>
      </c>
      <c r="BM67">
        <v>13.35</v>
      </c>
      <c r="BN67">
        <v>102.33</v>
      </c>
      <c r="BO67">
        <v>102.33</v>
      </c>
      <c r="BQ67" t="s">
        <v>401</v>
      </c>
      <c r="BR67" t="s">
        <v>84</v>
      </c>
      <c r="BS67" s="3">
        <v>45875</v>
      </c>
      <c r="BT67" s="4">
        <v>0.41666666666666669</v>
      </c>
      <c r="BU67" t="s">
        <v>402</v>
      </c>
      <c r="BV67" t="s">
        <v>86</v>
      </c>
      <c r="BY67">
        <v>10422.450000000001</v>
      </c>
      <c r="BZ67" t="s">
        <v>102</v>
      </c>
      <c r="CC67" t="s">
        <v>346</v>
      </c>
      <c r="CD67">
        <v>9301</v>
      </c>
      <c r="CE67" t="s">
        <v>403</v>
      </c>
      <c r="CF67" s="3">
        <v>45876</v>
      </c>
      <c r="CI67">
        <v>2</v>
      </c>
      <c r="CJ67">
        <v>1</v>
      </c>
      <c r="CK67">
        <v>21</v>
      </c>
      <c r="CL67" t="s">
        <v>90</v>
      </c>
    </row>
    <row r="68" spans="1:90" x14ac:dyDescent="0.3">
      <c r="A68" t="s">
        <v>72</v>
      </c>
      <c r="B68" t="s">
        <v>73</v>
      </c>
      <c r="C68" t="s">
        <v>74</v>
      </c>
      <c r="E68" t="str">
        <f>"GAB2027663"</f>
        <v>GAB2027663</v>
      </c>
      <c r="F68" s="3">
        <v>45874</v>
      </c>
      <c r="G68">
        <v>202605</v>
      </c>
      <c r="H68" t="s">
        <v>75</v>
      </c>
      <c r="I68" t="s">
        <v>76</v>
      </c>
      <c r="J68" t="s">
        <v>77</v>
      </c>
      <c r="K68" t="s">
        <v>78</v>
      </c>
      <c r="L68" t="s">
        <v>79</v>
      </c>
      <c r="M68" t="s">
        <v>80</v>
      </c>
      <c r="N68" t="s">
        <v>404</v>
      </c>
      <c r="O68" t="s">
        <v>100</v>
      </c>
      <c r="P68" t="str">
        <f>"00119898 096455               "</f>
        <v xml:space="preserve">00119898 096455               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22.6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1</v>
      </c>
      <c r="BI68">
        <v>0.7</v>
      </c>
      <c r="BJ68">
        <v>2</v>
      </c>
      <c r="BK68">
        <v>2</v>
      </c>
      <c r="BL68">
        <v>71.2</v>
      </c>
      <c r="BM68">
        <v>10.68</v>
      </c>
      <c r="BN68">
        <v>81.88</v>
      </c>
      <c r="BO68">
        <v>81.88</v>
      </c>
      <c r="BQ68" t="s">
        <v>405</v>
      </c>
      <c r="BR68" t="s">
        <v>84</v>
      </c>
      <c r="BS68" s="3">
        <v>45875</v>
      </c>
      <c r="BT68" s="4">
        <v>0.42638888888888887</v>
      </c>
      <c r="BU68" t="s">
        <v>406</v>
      </c>
      <c r="BV68" t="s">
        <v>86</v>
      </c>
      <c r="BY68">
        <v>10221.02</v>
      </c>
      <c r="BZ68" t="s">
        <v>102</v>
      </c>
      <c r="CA68" t="s">
        <v>282</v>
      </c>
      <c r="CC68" t="s">
        <v>80</v>
      </c>
      <c r="CD68" s="5" t="s">
        <v>237</v>
      </c>
      <c r="CE68" t="s">
        <v>403</v>
      </c>
      <c r="CF68" s="3">
        <v>45875</v>
      </c>
      <c r="CI68">
        <v>1</v>
      </c>
      <c r="CJ68">
        <v>1</v>
      </c>
      <c r="CK68">
        <v>21</v>
      </c>
      <c r="CL68" t="s">
        <v>90</v>
      </c>
    </row>
    <row r="69" spans="1:90" x14ac:dyDescent="0.3">
      <c r="A69" t="s">
        <v>72</v>
      </c>
      <c r="B69" t="s">
        <v>73</v>
      </c>
      <c r="C69" t="s">
        <v>74</v>
      </c>
      <c r="E69" t="str">
        <f>"GAB2027667"</f>
        <v>GAB2027667</v>
      </c>
      <c r="F69" s="3">
        <v>45874</v>
      </c>
      <c r="G69">
        <v>202605</v>
      </c>
      <c r="H69" t="s">
        <v>75</v>
      </c>
      <c r="I69" t="s">
        <v>76</v>
      </c>
      <c r="J69" t="s">
        <v>77</v>
      </c>
      <c r="K69" t="s">
        <v>78</v>
      </c>
      <c r="L69" t="s">
        <v>407</v>
      </c>
      <c r="M69" t="s">
        <v>408</v>
      </c>
      <c r="N69" t="s">
        <v>409</v>
      </c>
      <c r="O69" t="s">
        <v>100</v>
      </c>
      <c r="P69" t="str">
        <f>"00119893 096452               "</f>
        <v xml:space="preserve">00119893 096452               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43.78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1</v>
      </c>
      <c r="BI69">
        <v>0.8</v>
      </c>
      <c r="BJ69">
        <v>1.8</v>
      </c>
      <c r="BK69">
        <v>2</v>
      </c>
      <c r="BL69">
        <v>137.94</v>
      </c>
      <c r="BM69">
        <v>20.69</v>
      </c>
      <c r="BN69">
        <v>158.63</v>
      </c>
      <c r="BO69">
        <v>158.63</v>
      </c>
      <c r="BQ69" t="s">
        <v>410</v>
      </c>
      <c r="BR69" t="s">
        <v>84</v>
      </c>
      <c r="BS69" s="3">
        <v>45876</v>
      </c>
      <c r="BT69" s="4">
        <v>0.57916666666666672</v>
      </c>
      <c r="BU69" t="s">
        <v>411</v>
      </c>
      <c r="BV69" t="s">
        <v>90</v>
      </c>
      <c r="BW69" t="s">
        <v>294</v>
      </c>
      <c r="BX69" t="s">
        <v>412</v>
      </c>
      <c r="BY69">
        <v>9072</v>
      </c>
      <c r="BZ69" t="s">
        <v>102</v>
      </c>
      <c r="CA69" t="s">
        <v>413</v>
      </c>
      <c r="CC69" t="s">
        <v>408</v>
      </c>
      <c r="CD69">
        <v>4420</v>
      </c>
      <c r="CE69" t="s">
        <v>414</v>
      </c>
      <c r="CF69" s="3">
        <v>45876</v>
      </c>
      <c r="CI69">
        <v>2</v>
      </c>
      <c r="CJ69">
        <v>2</v>
      </c>
      <c r="CK69">
        <v>23</v>
      </c>
      <c r="CL69" t="s">
        <v>90</v>
      </c>
    </row>
    <row r="70" spans="1:90" x14ac:dyDescent="0.3">
      <c r="A70" t="s">
        <v>72</v>
      </c>
      <c r="B70" t="s">
        <v>73</v>
      </c>
      <c r="C70" t="s">
        <v>74</v>
      </c>
      <c r="E70" t="str">
        <f>"GAB2027670"</f>
        <v>GAB2027670</v>
      </c>
      <c r="F70" s="3">
        <v>45874</v>
      </c>
      <c r="G70">
        <v>202605</v>
      </c>
      <c r="H70" t="s">
        <v>75</v>
      </c>
      <c r="I70" t="s">
        <v>76</v>
      </c>
      <c r="J70" t="s">
        <v>77</v>
      </c>
      <c r="K70" t="s">
        <v>78</v>
      </c>
      <c r="L70" t="s">
        <v>415</v>
      </c>
      <c r="M70" t="s">
        <v>416</v>
      </c>
      <c r="N70" t="s">
        <v>417</v>
      </c>
      <c r="O70" t="s">
        <v>100</v>
      </c>
      <c r="P70" t="str">
        <f>"00119905 096466               "</f>
        <v xml:space="preserve">00119905 096466               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33.89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1</v>
      </c>
      <c r="BI70">
        <v>0.7</v>
      </c>
      <c r="BJ70">
        <v>3</v>
      </c>
      <c r="BK70">
        <v>3</v>
      </c>
      <c r="BL70">
        <v>106.77</v>
      </c>
      <c r="BM70">
        <v>16.02</v>
      </c>
      <c r="BN70">
        <v>122.79</v>
      </c>
      <c r="BO70">
        <v>122.79</v>
      </c>
      <c r="BQ70" t="s">
        <v>418</v>
      </c>
      <c r="BR70" t="s">
        <v>84</v>
      </c>
      <c r="BS70" s="3">
        <v>45875</v>
      </c>
      <c r="BT70" s="4">
        <v>0.41875000000000001</v>
      </c>
      <c r="BU70" t="s">
        <v>419</v>
      </c>
      <c r="BV70" t="s">
        <v>86</v>
      </c>
      <c r="BY70">
        <v>14840.7</v>
      </c>
      <c r="BZ70" t="s">
        <v>102</v>
      </c>
      <c r="CA70" t="s">
        <v>420</v>
      </c>
      <c r="CC70" t="s">
        <v>416</v>
      </c>
      <c r="CD70">
        <v>2021</v>
      </c>
      <c r="CE70" t="s">
        <v>403</v>
      </c>
      <c r="CF70" s="3">
        <v>45876</v>
      </c>
      <c r="CI70">
        <v>1</v>
      </c>
      <c r="CJ70">
        <v>1</v>
      </c>
      <c r="CK70">
        <v>21</v>
      </c>
      <c r="CL70" t="s">
        <v>90</v>
      </c>
    </row>
    <row r="71" spans="1:90" x14ac:dyDescent="0.3">
      <c r="A71" t="s">
        <v>72</v>
      </c>
      <c r="B71" t="s">
        <v>73</v>
      </c>
      <c r="C71" t="s">
        <v>74</v>
      </c>
      <c r="E71" t="str">
        <f>"GAB2027671"</f>
        <v>GAB2027671</v>
      </c>
      <c r="F71" s="3">
        <v>45874</v>
      </c>
      <c r="G71">
        <v>202605</v>
      </c>
      <c r="H71" t="s">
        <v>75</v>
      </c>
      <c r="I71" t="s">
        <v>76</v>
      </c>
      <c r="J71" t="s">
        <v>77</v>
      </c>
      <c r="K71" t="s">
        <v>78</v>
      </c>
      <c r="L71" t="s">
        <v>75</v>
      </c>
      <c r="M71" t="s">
        <v>76</v>
      </c>
      <c r="N71" t="s">
        <v>421</v>
      </c>
      <c r="O71" t="s">
        <v>100</v>
      </c>
      <c r="P71" t="str">
        <f>"00119906 096460               "</f>
        <v xml:space="preserve">00119906 096460               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17.649999999999999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1</v>
      </c>
      <c r="BI71">
        <v>0.8</v>
      </c>
      <c r="BJ71">
        <v>2</v>
      </c>
      <c r="BK71">
        <v>2</v>
      </c>
      <c r="BL71">
        <v>55.61</v>
      </c>
      <c r="BM71">
        <v>8.34</v>
      </c>
      <c r="BN71">
        <v>63.95</v>
      </c>
      <c r="BO71">
        <v>63.95</v>
      </c>
      <c r="BQ71" t="s">
        <v>422</v>
      </c>
      <c r="BR71" t="s">
        <v>84</v>
      </c>
      <c r="BS71" s="3">
        <v>45875</v>
      </c>
      <c r="BT71" s="4">
        <v>0.51875000000000004</v>
      </c>
      <c r="BU71" t="s">
        <v>423</v>
      </c>
      <c r="BV71" t="s">
        <v>86</v>
      </c>
      <c r="BY71">
        <v>10098</v>
      </c>
      <c r="BZ71" t="s">
        <v>102</v>
      </c>
      <c r="CA71" t="s">
        <v>424</v>
      </c>
      <c r="CC71" t="s">
        <v>76</v>
      </c>
      <c r="CD71">
        <v>7806</v>
      </c>
      <c r="CE71" t="s">
        <v>414</v>
      </c>
      <c r="CF71" s="3">
        <v>45876</v>
      </c>
      <c r="CI71">
        <v>1</v>
      </c>
      <c r="CJ71">
        <v>1</v>
      </c>
      <c r="CK71">
        <v>22</v>
      </c>
      <c r="CL71" t="s">
        <v>90</v>
      </c>
    </row>
    <row r="72" spans="1:90" x14ac:dyDescent="0.3">
      <c r="A72" t="s">
        <v>72</v>
      </c>
      <c r="B72" t="s">
        <v>73</v>
      </c>
      <c r="C72" t="s">
        <v>74</v>
      </c>
      <c r="E72" t="str">
        <f>"GAB2027672"</f>
        <v>GAB2027672</v>
      </c>
      <c r="F72" s="3">
        <v>45874</v>
      </c>
      <c r="G72">
        <v>202605</v>
      </c>
      <c r="H72" t="s">
        <v>75</v>
      </c>
      <c r="I72" t="s">
        <v>76</v>
      </c>
      <c r="J72" t="s">
        <v>77</v>
      </c>
      <c r="K72" t="s">
        <v>78</v>
      </c>
      <c r="L72" t="s">
        <v>75</v>
      </c>
      <c r="M72" t="s">
        <v>76</v>
      </c>
      <c r="N72" t="s">
        <v>425</v>
      </c>
      <c r="O72" t="s">
        <v>100</v>
      </c>
      <c r="P72" t="str">
        <f>"00119907 096462               "</f>
        <v xml:space="preserve">00119907 096462               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17.649999999999999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1</v>
      </c>
      <c r="BI72">
        <v>0.7</v>
      </c>
      <c r="BJ72">
        <v>2</v>
      </c>
      <c r="BK72">
        <v>2</v>
      </c>
      <c r="BL72">
        <v>55.61</v>
      </c>
      <c r="BM72">
        <v>8.34</v>
      </c>
      <c r="BN72">
        <v>63.95</v>
      </c>
      <c r="BO72">
        <v>63.95</v>
      </c>
      <c r="BQ72" t="s">
        <v>426</v>
      </c>
      <c r="BR72" t="s">
        <v>84</v>
      </c>
      <c r="BS72" s="3">
        <v>45875</v>
      </c>
      <c r="BT72" s="4">
        <v>0.40069444444444446</v>
      </c>
      <c r="BU72" t="s">
        <v>427</v>
      </c>
      <c r="BV72" t="s">
        <v>86</v>
      </c>
      <c r="BY72">
        <v>10240.290000000001</v>
      </c>
      <c r="BZ72" t="s">
        <v>102</v>
      </c>
      <c r="CA72" t="s">
        <v>428</v>
      </c>
      <c r="CC72" t="s">
        <v>76</v>
      </c>
      <c r="CD72">
        <v>7441</v>
      </c>
      <c r="CE72" t="s">
        <v>403</v>
      </c>
      <c r="CF72" s="3">
        <v>45876</v>
      </c>
      <c r="CI72">
        <v>1</v>
      </c>
      <c r="CJ72">
        <v>1</v>
      </c>
      <c r="CK72">
        <v>22</v>
      </c>
      <c r="CL72" t="s">
        <v>90</v>
      </c>
    </row>
    <row r="73" spans="1:90" x14ac:dyDescent="0.3">
      <c r="A73" t="s">
        <v>72</v>
      </c>
      <c r="B73" t="s">
        <v>73</v>
      </c>
      <c r="C73" t="s">
        <v>74</v>
      </c>
      <c r="E73" t="str">
        <f>"GAB2027673"</f>
        <v>GAB2027673</v>
      </c>
      <c r="F73" s="3">
        <v>45874</v>
      </c>
      <c r="G73">
        <v>202605</v>
      </c>
      <c r="H73" t="s">
        <v>75</v>
      </c>
      <c r="I73" t="s">
        <v>76</v>
      </c>
      <c r="J73" t="s">
        <v>77</v>
      </c>
      <c r="K73" t="s">
        <v>78</v>
      </c>
      <c r="L73" t="s">
        <v>91</v>
      </c>
      <c r="M73" t="s">
        <v>92</v>
      </c>
      <c r="N73" t="s">
        <v>429</v>
      </c>
      <c r="O73" t="s">
        <v>100</v>
      </c>
      <c r="P73" t="str">
        <f>"00119909 096459               "</f>
        <v xml:space="preserve">00119909 096459               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22.6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1</v>
      </c>
      <c r="BI73">
        <v>0.7</v>
      </c>
      <c r="BJ73">
        <v>2</v>
      </c>
      <c r="BK73">
        <v>2</v>
      </c>
      <c r="BL73">
        <v>71.2</v>
      </c>
      <c r="BM73">
        <v>10.68</v>
      </c>
      <c r="BN73">
        <v>81.88</v>
      </c>
      <c r="BO73">
        <v>81.88</v>
      </c>
      <c r="BQ73" t="s">
        <v>430</v>
      </c>
      <c r="BR73" t="s">
        <v>84</v>
      </c>
      <c r="BS73" s="3">
        <v>45877</v>
      </c>
      <c r="BT73" s="4">
        <v>0.70416666666666672</v>
      </c>
      <c r="BU73" t="s">
        <v>431</v>
      </c>
      <c r="BV73" t="s">
        <v>90</v>
      </c>
      <c r="BW73" t="s">
        <v>294</v>
      </c>
      <c r="BX73" t="s">
        <v>432</v>
      </c>
      <c r="BY73">
        <v>10220.48</v>
      </c>
      <c r="BZ73" t="s">
        <v>102</v>
      </c>
      <c r="CA73" t="s">
        <v>433</v>
      </c>
      <c r="CC73" t="s">
        <v>92</v>
      </c>
      <c r="CD73">
        <v>4001</v>
      </c>
      <c r="CE73" t="s">
        <v>403</v>
      </c>
      <c r="CF73" s="3">
        <v>45878</v>
      </c>
      <c r="CI73">
        <v>2</v>
      </c>
      <c r="CJ73">
        <v>3</v>
      </c>
      <c r="CK73">
        <v>21</v>
      </c>
      <c r="CL73" t="s">
        <v>90</v>
      </c>
    </row>
    <row r="74" spans="1:90" x14ac:dyDescent="0.3">
      <c r="A74" t="s">
        <v>72</v>
      </c>
      <c r="B74" t="s">
        <v>73</v>
      </c>
      <c r="C74" t="s">
        <v>74</v>
      </c>
      <c r="E74" t="str">
        <f>"GAB2027677"</f>
        <v>GAB2027677</v>
      </c>
      <c r="F74" s="3">
        <v>45874</v>
      </c>
      <c r="G74">
        <v>202605</v>
      </c>
      <c r="H74" t="s">
        <v>75</v>
      </c>
      <c r="I74" t="s">
        <v>76</v>
      </c>
      <c r="J74" t="s">
        <v>77</v>
      </c>
      <c r="K74" t="s">
        <v>78</v>
      </c>
      <c r="L74" t="s">
        <v>190</v>
      </c>
      <c r="M74" t="s">
        <v>191</v>
      </c>
      <c r="N74" t="s">
        <v>434</v>
      </c>
      <c r="O74" t="s">
        <v>100</v>
      </c>
      <c r="P74" t="str">
        <f>"00119913 096464               "</f>
        <v xml:space="preserve">00119913 096464               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33.89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1</v>
      </c>
      <c r="BI74">
        <v>0.7</v>
      </c>
      <c r="BJ74">
        <v>2.7</v>
      </c>
      <c r="BK74">
        <v>3</v>
      </c>
      <c r="BL74">
        <v>106.77</v>
      </c>
      <c r="BM74">
        <v>16.02</v>
      </c>
      <c r="BN74">
        <v>122.79</v>
      </c>
      <c r="BO74">
        <v>122.79</v>
      </c>
      <c r="BQ74" t="s">
        <v>435</v>
      </c>
      <c r="BR74" t="s">
        <v>84</v>
      </c>
      <c r="BS74" s="3">
        <v>45875</v>
      </c>
      <c r="BT74" s="4">
        <v>0.4152777777777778</v>
      </c>
      <c r="BU74" t="s">
        <v>436</v>
      </c>
      <c r="BV74" t="s">
        <v>86</v>
      </c>
      <c r="BY74">
        <v>13514.55</v>
      </c>
      <c r="BZ74" t="s">
        <v>102</v>
      </c>
      <c r="CA74" t="s">
        <v>437</v>
      </c>
      <c r="CC74" t="s">
        <v>191</v>
      </c>
      <c r="CD74" s="5" t="s">
        <v>196</v>
      </c>
      <c r="CE74" t="s">
        <v>297</v>
      </c>
      <c r="CF74" s="3">
        <v>45875</v>
      </c>
      <c r="CI74">
        <v>1</v>
      </c>
      <c r="CJ74">
        <v>1</v>
      </c>
      <c r="CK74">
        <v>21</v>
      </c>
      <c r="CL74" t="s">
        <v>90</v>
      </c>
    </row>
    <row r="75" spans="1:90" x14ac:dyDescent="0.3">
      <c r="A75" t="s">
        <v>72</v>
      </c>
      <c r="B75" t="s">
        <v>73</v>
      </c>
      <c r="C75" t="s">
        <v>74</v>
      </c>
      <c r="E75" t="str">
        <f>"GAB2027680"</f>
        <v>GAB2027680</v>
      </c>
      <c r="F75" s="3">
        <v>45874</v>
      </c>
      <c r="G75">
        <v>202605</v>
      </c>
      <c r="H75" t="s">
        <v>75</v>
      </c>
      <c r="I75" t="s">
        <v>76</v>
      </c>
      <c r="J75" t="s">
        <v>77</v>
      </c>
      <c r="K75" t="s">
        <v>78</v>
      </c>
      <c r="L75" t="s">
        <v>438</v>
      </c>
      <c r="M75" t="s">
        <v>439</v>
      </c>
      <c r="N75" t="s">
        <v>440</v>
      </c>
      <c r="O75" t="s">
        <v>100</v>
      </c>
      <c r="P75" t="str">
        <f>"00119916 096475               "</f>
        <v xml:space="preserve">00119916 096475               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28.24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16.739999999999998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1</v>
      </c>
      <c r="BI75">
        <v>0.7</v>
      </c>
      <c r="BJ75">
        <v>2.5</v>
      </c>
      <c r="BK75">
        <v>2.5</v>
      </c>
      <c r="BL75">
        <v>105.72</v>
      </c>
      <c r="BM75">
        <v>15.86</v>
      </c>
      <c r="BN75">
        <v>121.58</v>
      </c>
      <c r="BO75">
        <v>121.58</v>
      </c>
      <c r="BQ75" t="s">
        <v>441</v>
      </c>
      <c r="BR75" t="s">
        <v>84</v>
      </c>
      <c r="BS75" s="3">
        <v>45875</v>
      </c>
      <c r="BT75" s="4">
        <v>0.42638888888888887</v>
      </c>
      <c r="BU75" t="s">
        <v>442</v>
      </c>
      <c r="BV75" t="s">
        <v>86</v>
      </c>
      <c r="BY75">
        <v>12353.04</v>
      </c>
      <c r="BZ75" t="s">
        <v>320</v>
      </c>
      <c r="CA75" t="s">
        <v>443</v>
      </c>
      <c r="CC75" t="s">
        <v>439</v>
      </c>
      <c r="CD75">
        <v>1475</v>
      </c>
      <c r="CE75" t="s">
        <v>109</v>
      </c>
      <c r="CF75" s="3">
        <v>45875</v>
      </c>
      <c r="CI75">
        <v>1</v>
      </c>
      <c r="CJ75">
        <v>1</v>
      </c>
      <c r="CK75">
        <v>21</v>
      </c>
      <c r="CL75" t="s">
        <v>90</v>
      </c>
    </row>
    <row r="76" spans="1:90" x14ac:dyDescent="0.3">
      <c r="A76" t="s">
        <v>72</v>
      </c>
      <c r="B76" t="s">
        <v>73</v>
      </c>
      <c r="C76" t="s">
        <v>74</v>
      </c>
      <c r="E76" t="str">
        <f>"GAB2027682"</f>
        <v>GAB2027682</v>
      </c>
      <c r="F76" s="3">
        <v>45874</v>
      </c>
      <c r="G76">
        <v>202605</v>
      </c>
      <c r="H76" t="s">
        <v>75</v>
      </c>
      <c r="I76" t="s">
        <v>76</v>
      </c>
      <c r="J76" t="s">
        <v>77</v>
      </c>
      <c r="K76" t="s">
        <v>78</v>
      </c>
      <c r="L76" t="s">
        <v>444</v>
      </c>
      <c r="M76" t="s">
        <v>445</v>
      </c>
      <c r="N76" t="s">
        <v>446</v>
      </c>
      <c r="O76" t="s">
        <v>100</v>
      </c>
      <c r="P76" t="str">
        <f>"00038190 035179               "</f>
        <v xml:space="preserve">00038190 035179               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43.78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1</v>
      </c>
      <c r="BI76">
        <v>0.8</v>
      </c>
      <c r="BJ76">
        <v>1.8</v>
      </c>
      <c r="BK76">
        <v>2</v>
      </c>
      <c r="BL76">
        <v>137.94</v>
      </c>
      <c r="BM76">
        <v>20.69</v>
      </c>
      <c r="BN76">
        <v>158.63</v>
      </c>
      <c r="BO76">
        <v>158.63</v>
      </c>
      <c r="BQ76" t="s">
        <v>447</v>
      </c>
      <c r="BR76" t="s">
        <v>84</v>
      </c>
      <c r="BS76" s="3">
        <v>45875</v>
      </c>
      <c r="BT76" s="4">
        <v>0.40555555555555556</v>
      </c>
      <c r="BU76" t="s">
        <v>448</v>
      </c>
      <c r="BV76" t="s">
        <v>86</v>
      </c>
      <c r="BY76">
        <v>9231</v>
      </c>
      <c r="BZ76" t="s">
        <v>102</v>
      </c>
      <c r="CA76" t="s">
        <v>449</v>
      </c>
      <c r="CC76" t="s">
        <v>445</v>
      </c>
      <c r="CD76" s="5" t="s">
        <v>450</v>
      </c>
      <c r="CE76" t="s">
        <v>143</v>
      </c>
      <c r="CF76" s="3">
        <v>45876</v>
      </c>
      <c r="CI76">
        <v>2</v>
      </c>
      <c r="CJ76">
        <v>1</v>
      </c>
      <c r="CK76">
        <v>23</v>
      </c>
      <c r="CL76" t="s">
        <v>90</v>
      </c>
    </row>
    <row r="77" spans="1:90" x14ac:dyDescent="0.3">
      <c r="A77" t="s">
        <v>72</v>
      </c>
      <c r="B77" t="s">
        <v>73</v>
      </c>
      <c r="C77" t="s">
        <v>74</v>
      </c>
      <c r="E77" t="str">
        <f>"GAB2027683"</f>
        <v>GAB2027683</v>
      </c>
      <c r="F77" s="3">
        <v>45874</v>
      </c>
      <c r="G77">
        <v>202605</v>
      </c>
      <c r="H77" t="s">
        <v>75</v>
      </c>
      <c r="I77" t="s">
        <v>76</v>
      </c>
      <c r="J77" t="s">
        <v>77</v>
      </c>
      <c r="K77" t="s">
        <v>78</v>
      </c>
      <c r="L77" t="s">
        <v>415</v>
      </c>
      <c r="M77" t="s">
        <v>416</v>
      </c>
      <c r="N77" t="s">
        <v>451</v>
      </c>
      <c r="O77" t="s">
        <v>100</v>
      </c>
      <c r="P77" t="str">
        <f>"00038191 035174               "</f>
        <v xml:space="preserve">00038191 035174               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28.24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1</v>
      </c>
      <c r="BI77">
        <v>0.8</v>
      </c>
      <c r="BJ77">
        <v>2.1</v>
      </c>
      <c r="BK77">
        <v>2.5</v>
      </c>
      <c r="BL77">
        <v>88.98</v>
      </c>
      <c r="BM77">
        <v>13.35</v>
      </c>
      <c r="BN77">
        <v>102.33</v>
      </c>
      <c r="BO77">
        <v>102.33</v>
      </c>
      <c r="BQ77" t="s">
        <v>452</v>
      </c>
      <c r="BR77" t="s">
        <v>84</v>
      </c>
      <c r="BS77" s="3">
        <v>45875</v>
      </c>
      <c r="BT77" s="4">
        <v>0.41666666666666669</v>
      </c>
      <c r="BU77" t="s">
        <v>453</v>
      </c>
      <c r="BV77" t="s">
        <v>86</v>
      </c>
      <c r="BY77">
        <v>10659.6</v>
      </c>
      <c r="BZ77" t="s">
        <v>102</v>
      </c>
      <c r="CC77" t="s">
        <v>416</v>
      </c>
      <c r="CD77">
        <v>2191</v>
      </c>
      <c r="CE77" t="s">
        <v>109</v>
      </c>
      <c r="CF77" s="3">
        <v>45876</v>
      </c>
      <c r="CI77">
        <v>1</v>
      </c>
      <c r="CJ77">
        <v>1</v>
      </c>
      <c r="CK77">
        <v>21</v>
      </c>
      <c r="CL77" t="s">
        <v>90</v>
      </c>
    </row>
    <row r="78" spans="1:90" x14ac:dyDescent="0.3">
      <c r="A78" t="s">
        <v>72</v>
      </c>
      <c r="B78" t="s">
        <v>73</v>
      </c>
      <c r="C78" t="s">
        <v>74</v>
      </c>
      <c r="E78" t="str">
        <f>"GAB2027684"</f>
        <v>GAB2027684</v>
      </c>
      <c r="F78" s="3">
        <v>45874</v>
      </c>
      <c r="G78">
        <v>202605</v>
      </c>
      <c r="H78" t="s">
        <v>75</v>
      </c>
      <c r="I78" t="s">
        <v>76</v>
      </c>
      <c r="J78" t="s">
        <v>77</v>
      </c>
      <c r="K78" t="s">
        <v>78</v>
      </c>
      <c r="L78" t="s">
        <v>91</v>
      </c>
      <c r="M78" t="s">
        <v>92</v>
      </c>
      <c r="N78" t="s">
        <v>454</v>
      </c>
      <c r="O78" t="s">
        <v>100</v>
      </c>
      <c r="P78" t="str">
        <f>"00038192 035172               "</f>
        <v xml:space="preserve">00038192 035172               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33.89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1</v>
      </c>
      <c r="BI78">
        <v>0.7</v>
      </c>
      <c r="BJ78">
        <v>2.8</v>
      </c>
      <c r="BK78">
        <v>3</v>
      </c>
      <c r="BL78">
        <v>106.77</v>
      </c>
      <c r="BM78">
        <v>16.02</v>
      </c>
      <c r="BN78">
        <v>122.79</v>
      </c>
      <c r="BO78">
        <v>122.79</v>
      </c>
      <c r="BR78" t="s">
        <v>84</v>
      </c>
      <c r="BS78" s="3">
        <v>45877</v>
      </c>
      <c r="BT78" s="4">
        <v>0.41041666666666665</v>
      </c>
      <c r="BU78" t="s">
        <v>455</v>
      </c>
      <c r="BV78" t="s">
        <v>90</v>
      </c>
      <c r="BW78" t="s">
        <v>294</v>
      </c>
      <c r="BX78" t="s">
        <v>432</v>
      </c>
      <c r="BY78">
        <v>14144</v>
      </c>
      <c r="BZ78" t="s">
        <v>102</v>
      </c>
      <c r="CA78" t="s">
        <v>456</v>
      </c>
      <c r="CC78" t="s">
        <v>92</v>
      </c>
      <c r="CD78">
        <v>4001</v>
      </c>
      <c r="CE78" t="s">
        <v>297</v>
      </c>
      <c r="CF78" s="3">
        <v>45877</v>
      </c>
      <c r="CI78">
        <v>2</v>
      </c>
      <c r="CJ78">
        <v>3</v>
      </c>
      <c r="CK78">
        <v>21</v>
      </c>
      <c r="CL78" t="s">
        <v>90</v>
      </c>
    </row>
    <row r="79" spans="1:90" x14ac:dyDescent="0.3">
      <c r="A79" t="s">
        <v>72</v>
      </c>
      <c r="B79" t="s">
        <v>73</v>
      </c>
      <c r="C79" t="s">
        <v>74</v>
      </c>
      <c r="E79" t="str">
        <f>"GAB2027685"</f>
        <v>GAB2027685</v>
      </c>
      <c r="F79" s="3">
        <v>45874</v>
      </c>
      <c r="G79">
        <v>202605</v>
      </c>
      <c r="H79" t="s">
        <v>75</v>
      </c>
      <c r="I79" t="s">
        <v>76</v>
      </c>
      <c r="J79" t="s">
        <v>77</v>
      </c>
      <c r="K79" t="s">
        <v>78</v>
      </c>
      <c r="L79" t="s">
        <v>79</v>
      </c>
      <c r="M79" t="s">
        <v>80</v>
      </c>
      <c r="N79" t="s">
        <v>457</v>
      </c>
      <c r="O79" t="s">
        <v>100</v>
      </c>
      <c r="P79" t="str">
        <f>"00119887 096451               "</f>
        <v xml:space="preserve">00119887 096451               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22.6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1</v>
      </c>
      <c r="BI79">
        <v>1.1000000000000001</v>
      </c>
      <c r="BJ79">
        <v>1.8</v>
      </c>
      <c r="BK79">
        <v>2</v>
      </c>
      <c r="BL79">
        <v>71.2</v>
      </c>
      <c r="BM79">
        <v>10.68</v>
      </c>
      <c r="BN79">
        <v>81.88</v>
      </c>
      <c r="BO79">
        <v>81.88</v>
      </c>
      <c r="BQ79" t="s">
        <v>458</v>
      </c>
      <c r="BR79" t="s">
        <v>84</v>
      </c>
      <c r="BS79" s="3">
        <v>45875</v>
      </c>
      <c r="BT79" s="4">
        <v>0.42916666666666664</v>
      </c>
      <c r="BU79" t="s">
        <v>459</v>
      </c>
      <c r="BV79" t="s">
        <v>86</v>
      </c>
      <c r="BY79">
        <v>8863.4599999999991</v>
      </c>
      <c r="BZ79" t="s">
        <v>102</v>
      </c>
      <c r="CA79" t="s">
        <v>460</v>
      </c>
      <c r="CC79" t="s">
        <v>80</v>
      </c>
      <c r="CD79" s="5" t="s">
        <v>461</v>
      </c>
      <c r="CE79" t="s">
        <v>232</v>
      </c>
      <c r="CF79" s="3">
        <v>45875</v>
      </c>
      <c r="CI79">
        <v>1</v>
      </c>
      <c r="CJ79">
        <v>1</v>
      </c>
      <c r="CK79">
        <v>21</v>
      </c>
      <c r="CL79" t="s">
        <v>90</v>
      </c>
    </row>
    <row r="80" spans="1:90" x14ac:dyDescent="0.3">
      <c r="A80" t="s">
        <v>72</v>
      </c>
      <c r="B80" t="s">
        <v>73</v>
      </c>
      <c r="C80" t="s">
        <v>74</v>
      </c>
      <c r="E80" t="str">
        <f>"GAB2027686"</f>
        <v>GAB2027686</v>
      </c>
      <c r="F80" s="3">
        <v>45874</v>
      </c>
      <c r="G80">
        <v>202605</v>
      </c>
      <c r="H80" t="s">
        <v>75</v>
      </c>
      <c r="I80" t="s">
        <v>76</v>
      </c>
      <c r="J80" t="s">
        <v>77</v>
      </c>
      <c r="K80" t="s">
        <v>78</v>
      </c>
      <c r="L80" t="s">
        <v>184</v>
      </c>
      <c r="M80" t="s">
        <v>185</v>
      </c>
      <c r="N80" t="s">
        <v>462</v>
      </c>
      <c r="O80" t="s">
        <v>100</v>
      </c>
      <c r="P80" t="str">
        <f>"00038172 035074               "</f>
        <v xml:space="preserve">00038172 035074               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28.24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1</v>
      </c>
      <c r="BI80">
        <v>0.7</v>
      </c>
      <c r="BJ80">
        <v>2.2000000000000002</v>
      </c>
      <c r="BK80">
        <v>2.5</v>
      </c>
      <c r="BL80">
        <v>88.98</v>
      </c>
      <c r="BM80">
        <v>13.35</v>
      </c>
      <c r="BN80">
        <v>102.33</v>
      </c>
      <c r="BO80">
        <v>102.33</v>
      </c>
      <c r="BQ80" t="s">
        <v>463</v>
      </c>
      <c r="BR80" t="s">
        <v>84</v>
      </c>
      <c r="BS80" s="3">
        <v>45875</v>
      </c>
      <c r="BT80" s="4">
        <v>0.41666666666666669</v>
      </c>
      <c r="BU80" t="s">
        <v>464</v>
      </c>
      <c r="BV80" t="s">
        <v>86</v>
      </c>
      <c r="BY80">
        <v>11033.68</v>
      </c>
      <c r="BZ80" t="s">
        <v>102</v>
      </c>
      <c r="CA80" t="s">
        <v>465</v>
      </c>
      <c r="CC80" t="s">
        <v>185</v>
      </c>
      <c r="CD80">
        <v>1709</v>
      </c>
      <c r="CE80" t="s">
        <v>297</v>
      </c>
      <c r="CF80" s="3">
        <v>45875</v>
      </c>
      <c r="CI80">
        <v>1</v>
      </c>
      <c r="CJ80">
        <v>1</v>
      </c>
      <c r="CK80">
        <v>21</v>
      </c>
      <c r="CL80" t="s">
        <v>90</v>
      </c>
    </row>
    <row r="81" spans="1:90" x14ac:dyDescent="0.3">
      <c r="A81" t="s">
        <v>72</v>
      </c>
      <c r="B81" t="s">
        <v>73</v>
      </c>
      <c r="C81" t="s">
        <v>74</v>
      </c>
      <c r="E81" t="str">
        <f>"GAB2027687"</f>
        <v>GAB2027687</v>
      </c>
      <c r="F81" s="3">
        <v>45874</v>
      </c>
      <c r="G81">
        <v>202605</v>
      </c>
      <c r="H81" t="s">
        <v>75</v>
      </c>
      <c r="I81" t="s">
        <v>76</v>
      </c>
      <c r="J81" t="s">
        <v>77</v>
      </c>
      <c r="K81" t="s">
        <v>78</v>
      </c>
      <c r="L81" t="s">
        <v>75</v>
      </c>
      <c r="M81" t="s">
        <v>76</v>
      </c>
      <c r="N81" t="s">
        <v>243</v>
      </c>
      <c r="O81" t="s">
        <v>100</v>
      </c>
      <c r="P81" t="str">
        <f>"00119902 096457               "</f>
        <v xml:space="preserve">00119902 096457               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17.649999999999999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1</v>
      </c>
      <c r="BI81">
        <v>0.9</v>
      </c>
      <c r="BJ81">
        <v>3</v>
      </c>
      <c r="BK81">
        <v>3</v>
      </c>
      <c r="BL81">
        <v>55.61</v>
      </c>
      <c r="BM81">
        <v>8.34</v>
      </c>
      <c r="BN81">
        <v>63.95</v>
      </c>
      <c r="BO81">
        <v>63.95</v>
      </c>
      <c r="BQ81" t="s">
        <v>244</v>
      </c>
      <c r="BR81" t="s">
        <v>84</v>
      </c>
      <c r="BS81" s="3">
        <v>45875</v>
      </c>
      <c r="BT81" s="4">
        <v>0.42986111111111114</v>
      </c>
      <c r="BU81" t="s">
        <v>466</v>
      </c>
      <c r="BV81" t="s">
        <v>86</v>
      </c>
      <c r="BY81">
        <v>15129</v>
      </c>
      <c r="BZ81" t="s">
        <v>102</v>
      </c>
      <c r="CA81" t="s">
        <v>424</v>
      </c>
      <c r="CC81" t="s">
        <v>76</v>
      </c>
      <c r="CD81">
        <v>7800</v>
      </c>
      <c r="CE81" t="s">
        <v>104</v>
      </c>
      <c r="CF81" s="3">
        <v>45876</v>
      </c>
      <c r="CI81">
        <v>1</v>
      </c>
      <c r="CJ81">
        <v>1</v>
      </c>
      <c r="CK81">
        <v>22</v>
      </c>
      <c r="CL81" t="s">
        <v>90</v>
      </c>
    </row>
    <row r="82" spans="1:90" x14ac:dyDescent="0.3">
      <c r="A82" t="s">
        <v>72</v>
      </c>
      <c r="B82" t="s">
        <v>73</v>
      </c>
      <c r="C82" t="s">
        <v>74</v>
      </c>
      <c r="E82" t="str">
        <f>"GAB2027688"</f>
        <v>GAB2027688</v>
      </c>
      <c r="F82" s="3">
        <v>45874</v>
      </c>
      <c r="G82">
        <v>202605</v>
      </c>
      <c r="H82" t="s">
        <v>75</v>
      </c>
      <c r="I82" t="s">
        <v>76</v>
      </c>
      <c r="J82" t="s">
        <v>77</v>
      </c>
      <c r="K82" t="s">
        <v>78</v>
      </c>
      <c r="L82" t="s">
        <v>79</v>
      </c>
      <c r="M82" t="s">
        <v>80</v>
      </c>
      <c r="N82" t="s">
        <v>467</v>
      </c>
      <c r="O82" t="s">
        <v>100</v>
      </c>
      <c r="P82" t="str">
        <f>"00119917 096473               "</f>
        <v xml:space="preserve">00119917 096473               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28.24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1</v>
      </c>
      <c r="BI82">
        <v>0.9</v>
      </c>
      <c r="BJ82">
        <v>2.4</v>
      </c>
      <c r="BK82">
        <v>2.5</v>
      </c>
      <c r="BL82">
        <v>88.98</v>
      </c>
      <c r="BM82">
        <v>13.35</v>
      </c>
      <c r="BN82">
        <v>102.33</v>
      </c>
      <c r="BO82">
        <v>102.33</v>
      </c>
      <c r="BR82" t="s">
        <v>84</v>
      </c>
      <c r="BS82" s="3">
        <v>45875</v>
      </c>
      <c r="BT82" s="4">
        <v>0.42430555555555555</v>
      </c>
      <c r="BU82" t="s">
        <v>468</v>
      </c>
      <c r="BV82" t="s">
        <v>86</v>
      </c>
      <c r="BY82">
        <v>11941.2</v>
      </c>
      <c r="BZ82" t="s">
        <v>102</v>
      </c>
      <c r="CA82" t="s">
        <v>469</v>
      </c>
      <c r="CC82" t="s">
        <v>80</v>
      </c>
      <c r="CD82" s="5" t="s">
        <v>470</v>
      </c>
      <c r="CE82" t="s">
        <v>471</v>
      </c>
      <c r="CF82" s="3">
        <v>45875</v>
      </c>
      <c r="CI82">
        <v>1</v>
      </c>
      <c r="CJ82">
        <v>1</v>
      </c>
      <c r="CK82">
        <v>21</v>
      </c>
      <c r="CL82" t="s">
        <v>90</v>
      </c>
    </row>
    <row r="83" spans="1:90" x14ac:dyDescent="0.3">
      <c r="A83" t="s">
        <v>72</v>
      </c>
      <c r="B83" t="s">
        <v>73</v>
      </c>
      <c r="C83" t="s">
        <v>74</v>
      </c>
      <c r="E83" t="str">
        <f>"GAB2027690"</f>
        <v>GAB2027690</v>
      </c>
      <c r="F83" s="3">
        <v>45874</v>
      </c>
      <c r="G83">
        <v>202605</v>
      </c>
      <c r="H83" t="s">
        <v>75</v>
      </c>
      <c r="I83" t="s">
        <v>76</v>
      </c>
      <c r="J83" t="s">
        <v>77</v>
      </c>
      <c r="K83" t="s">
        <v>78</v>
      </c>
      <c r="L83" t="s">
        <v>75</v>
      </c>
      <c r="M83" t="s">
        <v>76</v>
      </c>
      <c r="N83" t="s">
        <v>472</v>
      </c>
      <c r="O83" t="s">
        <v>100</v>
      </c>
      <c r="P83" t="str">
        <f>"00119922 096463               "</f>
        <v xml:space="preserve">00119922 096463               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17.649999999999999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1</v>
      </c>
      <c r="BI83">
        <v>1.5</v>
      </c>
      <c r="BJ83">
        <v>2.6</v>
      </c>
      <c r="BK83">
        <v>3</v>
      </c>
      <c r="BL83">
        <v>55.61</v>
      </c>
      <c r="BM83">
        <v>8.34</v>
      </c>
      <c r="BN83">
        <v>63.95</v>
      </c>
      <c r="BO83">
        <v>63.95</v>
      </c>
      <c r="BQ83" t="s">
        <v>473</v>
      </c>
      <c r="BR83" t="s">
        <v>84</v>
      </c>
      <c r="BS83" s="3">
        <v>45875</v>
      </c>
      <c r="BT83" s="4">
        <v>0.41319444444444442</v>
      </c>
      <c r="BU83" t="s">
        <v>474</v>
      </c>
      <c r="BV83" t="s">
        <v>86</v>
      </c>
      <c r="BY83">
        <v>12834</v>
      </c>
      <c r="BZ83" t="s">
        <v>102</v>
      </c>
      <c r="CA83" t="s">
        <v>475</v>
      </c>
      <c r="CC83" t="s">
        <v>76</v>
      </c>
      <c r="CD83">
        <v>7550</v>
      </c>
      <c r="CE83" t="s">
        <v>476</v>
      </c>
      <c r="CF83" s="3">
        <v>45876</v>
      </c>
      <c r="CI83">
        <v>1</v>
      </c>
      <c r="CJ83">
        <v>1</v>
      </c>
      <c r="CK83">
        <v>22</v>
      </c>
      <c r="CL83" t="s">
        <v>90</v>
      </c>
    </row>
    <row r="84" spans="1:90" x14ac:dyDescent="0.3">
      <c r="A84" t="s">
        <v>72</v>
      </c>
      <c r="B84" t="s">
        <v>73</v>
      </c>
      <c r="C84" t="s">
        <v>74</v>
      </c>
      <c r="E84" t="str">
        <f>"GAB2027691"</f>
        <v>GAB2027691</v>
      </c>
      <c r="F84" s="3">
        <v>45874</v>
      </c>
      <c r="G84">
        <v>202605</v>
      </c>
      <c r="H84" t="s">
        <v>75</v>
      </c>
      <c r="I84" t="s">
        <v>76</v>
      </c>
      <c r="J84" t="s">
        <v>77</v>
      </c>
      <c r="K84" t="s">
        <v>78</v>
      </c>
      <c r="L84" t="s">
        <v>177</v>
      </c>
      <c r="M84" t="s">
        <v>178</v>
      </c>
      <c r="N84" t="s">
        <v>477</v>
      </c>
      <c r="O84" t="s">
        <v>100</v>
      </c>
      <c r="P84" t="str">
        <f>"00119928 096481               "</f>
        <v xml:space="preserve">00119928 096481               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43.78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1</v>
      </c>
      <c r="BI84">
        <v>1.2</v>
      </c>
      <c r="BJ84">
        <v>1.7</v>
      </c>
      <c r="BK84">
        <v>2</v>
      </c>
      <c r="BL84">
        <v>137.94</v>
      </c>
      <c r="BM84">
        <v>20.69</v>
      </c>
      <c r="BN84">
        <v>158.63</v>
      </c>
      <c r="BO84">
        <v>158.63</v>
      </c>
      <c r="BQ84" t="s">
        <v>478</v>
      </c>
      <c r="BR84" t="s">
        <v>84</v>
      </c>
      <c r="BS84" s="3">
        <v>45875</v>
      </c>
      <c r="BT84" s="4">
        <v>0.3840277777777778</v>
      </c>
      <c r="BU84" t="s">
        <v>479</v>
      </c>
      <c r="BV84" t="s">
        <v>86</v>
      </c>
      <c r="BY84">
        <v>8656.07</v>
      </c>
      <c r="BZ84" t="s">
        <v>102</v>
      </c>
      <c r="CC84" t="s">
        <v>178</v>
      </c>
      <c r="CD84">
        <v>1039</v>
      </c>
      <c r="CE84" t="s">
        <v>265</v>
      </c>
      <c r="CF84" s="3">
        <v>45876</v>
      </c>
      <c r="CI84">
        <v>1</v>
      </c>
      <c r="CJ84">
        <v>1</v>
      </c>
      <c r="CK84">
        <v>23</v>
      </c>
      <c r="CL84" t="s">
        <v>90</v>
      </c>
    </row>
    <row r="85" spans="1:90" x14ac:dyDescent="0.3">
      <c r="A85" t="s">
        <v>72</v>
      </c>
      <c r="B85" t="s">
        <v>73</v>
      </c>
      <c r="C85" t="s">
        <v>74</v>
      </c>
      <c r="E85" t="str">
        <f>"GAB2027692"</f>
        <v>GAB2027692</v>
      </c>
      <c r="F85" s="3">
        <v>45874</v>
      </c>
      <c r="G85">
        <v>202605</v>
      </c>
      <c r="H85" t="s">
        <v>75</v>
      </c>
      <c r="I85" t="s">
        <v>76</v>
      </c>
      <c r="J85" t="s">
        <v>77</v>
      </c>
      <c r="K85" t="s">
        <v>78</v>
      </c>
      <c r="L85" t="s">
        <v>148</v>
      </c>
      <c r="M85" t="s">
        <v>149</v>
      </c>
      <c r="N85" t="s">
        <v>480</v>
      </c>
      <c r="O85" t="s">
        <v>100</v>
      </c>
      <c r="P85" t="str">
        <f>"00038211 035218               "</f>
        <v xml:space="preserve">00038211 035218               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28.24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1</v>
      </c>
      <c r="BI85">
        <v>0.7</v>
      </c>
      <c r="BJ85">
        <v>2.2999999999999998</v>
      </c>
      <c r="BK85">
        <v>2.5</v>
      </c>
      <c r="BL85">
        <v>88.98</v>
      </c>
      <c r="BM85">
        <v>13.35</v>
      </c>
      <c r="BN85">
        <v>102.33</v>
      </c>
      <c r="BO85">
        <v>102.33</v>
      </c>
      <c r="BQ85" t="s">
        <v>481</v>
      </c>
      <c r="BR85" t="s">
        <v>84</v>
      </c>
      <c r="BS85" s="3">
        <v>45875</v>
      </c>
      <c r="BT85" s="4">
        <v>0.3576388888888889</v>
      </c>
      <c r="BU85" t="s">
        <v>482</v>
      </c>
      <c r="BV85" t="s">
        <v>86</v>
      </c>
      <c r="BY85">
        <v>11533.86</v>
      </c>
      <c r="BZ85" t="s">
        <v>102</v>
      </c>
      <c r="CA85" t="s">
        <v>483</v>
      </c>
      <c r="CC85" t="s">
        <v>149</v>
      </c>
      <c r="CD85">
        <v>6001</v>
      </c>
      <c r="CE85" t="s">
        <v>109</v>
      </c>
      <c r="CF85" s="3">
        <v>45875</v>
      </c>
      <c r="CI85">
        <v>2</v>
      </c>
      <c r="CJ85">
        <v>1</v>
      </c>
      <c r="CK85">
        <v>21</v>
      </c>
      <c r="CL85" t="s">
        <v>90</v>
      </c>
    </row>
    <row r="86" spans="1:90" x14ac:dyDescent="0.3">
      <c r="A86" t="s">
        <v>72</v>
      </c>
      <c r="B86" t="s">
        <v>73</v>
      </c>
      <c r="C86" t="s">
        <v>74</v>
      </c>
      <c r="E86" t="str">
        <f>"GAB2027695"</f>
        <v>GAB2027695</v>
      </c>
      <c r="F86" s="3">
        <v>45874</v>
      </c>
      <c r="G86">
        <v>202605</v>
      </c>
      <c r="H86" t="s">
        <v>75</v>
      </c>
      <c r="I86" t="s">
        <v>76</v>
      </c>
      <c r="J86" t="s">
        <v>77</v>
      </c>
      <c r="K86" t="s">
        <v>78</v>
      </c>
      <c r="L86" t="s">
        <v>415</v>
      </c>
      <c r="M86" t="s">
        <v>416</v>
      </c>
      <c r="N86" t="s">
        <v>484</v>
      </c>
      <c r="O86" t="s">
        <v>100</v>
      </c>
      <c r="P86" t="str">
        <f>"00119930 096489               "</f>
        <v xml:space="preserve">00119930 096489               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22.6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1</v>
      </c>
      <c r="BI86">
        <v>1.1000000000000001</v>
      </c>
      <c r="BJ86">
        <v>1.8</v>
      </c>
      <c r="BK86">
        <v>2</v>
      </c>
      <c r="BL86">
        <v>71.2</v>
      </c>
      <c r="BM86">
        <v>10.68</v>
      </c>
      <c r="BN86">
        <v>81.88</v>
      </c>
      <c r="BO86">
        <v>81.88</v>
      </c>
      <c r="BQ86" t="s">
        <v>485</v>
      </c>
      <c r="BR86" t="s">
        <v>84</v>
      </c>
      <c r="BS86" s="3">
        <v>45875</v>
      </c>
      <c r="BT86" s="4">
        <v>0.35833333333333334</v>
      </c>
      <c r="BU86" t="s">
        <v>486</v>
      </c>
      <c r="BV86" t="s">
        <v>86</v>
      </c>
      <c r="BY86">
        <v>8803.08</v>
      </c>
      <c r="BZ86" t="s">
        <v>102</v>
      </c>
      <c r="CA86" t="s">
        <v>487</v>
      </c>
      <c r="CC86" t="s">
        <v>416</v>
      </c>
      <c r="CD86">
        <v>2021</v>
      </c>
      <c r="CE86" t="s">
        <v>488</v>
      </c>
      <c r="CF86" s="3">
        <v>45876</v>
      </c>
      <c r="CI86">
        <v>1</v>
      </c>
      <c r="CJ86">
        <v>1</v>
      </c>
      <c r="CK86">
        <v>21</v>
      </c>
      <c r="CL86" t="s">
        <v>90</v>
      </c>
    </row>
    <row r="87" spans="1:90" x14ac:dyDescent="0.3">
      <c r="A87" t="s">
        <v>72</v>
      </c>
      <c r="B87" t="s">
        <v>73</v>
      </c>
      <c r="C87" t="s">
        <v>74</v>
      </c>
      <c r="E87" t="str">
        <f>"gab2027662"</f>
        <v>gab2027662</v>
      </c>
      <c r="F87" s="3">
        <v>45874</v>
      </c>
      <c r="G87">
        <v>202605</v>
      </c>
      <c r="H87" t="s">
        <v>75</v>
      </c>
      <c r="I87" t="s">
        <v>76</v>
      </c>
      <c r="J87" t="s">
        <v>257</v>
      </c>
      <c r="K87" t="s">
        <v>78</v>
      </c>
      <c r="L87" t="s">
        <v>75</v>
      </c>
      <c r="M87" t="s">
        <v>76</v>
      </c>
      <c r="N87" t="s">
        <v>489</v>
      </c>
      <c r="O87" t="s">
        <v>100</v>
      </c>
      <c r="P87" t="str">
        <f>"00119899                      "</f>
        <v xml:space="preserve">00119899                      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17.649999999999999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1</v>
      </c>
      <c r="BI87">
        <v>1.1000000000000001</v>
      </c>
      <c r="BJ87">
        <v>1.8</v>
      </c>
      <c r="BK87">
        <v>2</v>
      </c>
      <c r="BL87">
        <v>55.61</v>
      </c>
      <c r="BM87">
        <v>8.34</v>
      </c>
      <c r="BN87">
        <v>63.95</v>
      </c>
      <c r="BO87">
        <v>63.95</v>
      </c>
      <c r="BQ87" t="s">
        <v>490</v>
      </c>
      <c r="BR87" t="s">
        <v>491</v>
      </c>
      <c r="BS87" s="3">
        <v>45875</v>
      </c>
      <c r="BT87" s="4">
        <v>0.40069444444444446</v>
      </c>
      <c r="BU87" t="s">
        <v>492</v>
      </c>
      <c r="BV87" t="s">
        <v>86</v>
      </c>
      <c r="BY87">
        <v>9121.35</v>
      </c>
      <c r="BZ87" t="s">
        <v>102</v>
      </c>
      <c r="CA87" t="s">
        <v>428</v>
      </c>
      <c r="CC87" t="s">
        <v>76</v>
      </c>
      <c r="CD87">
        <v>7441</v>
      </c>
      <c r="CE87" t="s">
        <v>493</v>
      </c>
      <c r="CF87" s="3">
        <v>45876</v>
      </c>
      <c r="CI87">
        <v>1</v>
      </c>
      <c r="CJ87">
        <v>1</v>
      </c>
      <c r="CK87">
        <v>22</v>
      </c>
      <c r="CL87" t="s">
        <v>90</v>
      </c>
    </row>
    <row r="88" spans="1:90" x14ac:dyDescent="0.3">
      <c r="A88" t="s">
        <v>72</v>
      </c>
      <c r="B88" t="s">
        <v>73</v>
      </c>
      <c r="C88" t="s">
        <v>74</v>
      </c>
      <c r="E88" t="str">
        <f>"GAB2027697"</f>
        <v>GAB2027697</v>
      </c>
      <c r="F88" s="3">
        <v>45875</v>
      </c>
      <c r="G88">
        <v>202605</v>
      </c>
      <c r="H88" t="s">
        <v>75</v>
      </c>
      <c r="I88" t="s">
        <v>76</v>
      </c>
      <c r="J88" t="s">
        <v>77</v>
      </c>
      <c r="K88" t="s">
        <v>78</v>
      </c>
      <c r="L88" t="s">
        <v>494</v>
      </c>
      <c r="M88" t="s">
        <v>495</v>
      </c>
      <c r="N88" t="s">
        <v>496</v>
      </c>
      <c r="O88" t="s">
        <v>82</v>
      </c>
      <c r="P88" t="str">
        <f>"INV-00119903 CT096289         "</f>
        <v xml:space="preserve">INV-00119903 CT096289         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5.87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160.75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3</v>
      </c>
      <c r="BI88">
        <v>25.1</v>
      </c>
      <c r="BJ88">
        <v>77.900000000000006</v>
      </c>
      <c r="BK88">
        <v>78</v>
      </c>
      <c r="BL88">
        <v>505.04</v>
      </c>
      <c r="BM88">
        <v>75.760000000000005</v>
      </c>
      <c r="BN88">
        <v>580.79999999999995</v>
      </c>
      <c r="BO88">
        <v>580.79999999999995</v>
      </c>
      <c r="BQ88" t="s">
        <v>497</v>
      </c>
      <c r="BR88" t="s">
        <v>84</v>
      </c>
      <c r="BS88" s="3">
        <v>45881</v>
      </c>
      <c r="BT88" s="4">
        <v>0.5</v>
      </c>
      <c r="BU88" t="s">
        <v>498</v>
      </c>
      <c r="BV88" t="s">
        <v>86</v>
      </c>
      <c r="BY88">
        <v>389404.48</v>
      </c>
      <c r="CC88" t="s">
        <v>495</v>
      </c>
      <c r="CD88">
        <v>3201</v>
      </c>
      <c r="CE88" t="s">
        <v>89</v>
      </c>
      <c r="CF88" s="3">
        <v>45881</v>
      </c>
      <c r="CI88">
        <v>4</v>
      </c>
      <c r="CJ88">
        <v>4</v>
      </c>
      <c r="CK88">
        <v>41</v>
      </c>
      <c r="CL88" t="s">
        <v>90</v>
      </c>
    </row>
    <row r="89" spans="1:90" x14ac:dyDescent="0.3">
      <c r="A89" t="s">
        <v>72</v>
      </c>
      <c r="B89" t="s">
        <v>73</v>
      </c>
      <c r="C89" t="s">
        <v>74</v>
      </c>
      <c r="E89" t="str">
        <f>"GAB2027723"</f>
        <v>GAB2027723</v>
      </c>
      <c r="F89" s="3">
        <v>45875</v>
      </c>
      <c r="G89">
        <v>202605</v>
      </c>
      <c r="H89" t="s">
        <v>75</v>
      </c>
      <c r="I89" t="s">
        <v>76</v>
      </c>
      <c r="J89" t="s">
        <v>77</v>
      </c>
      <c r="K89" t="s">
        <v>78</v>
      </c>
      <c r="L89" t="s">
        <v>499</v>
      </c>
      <c r="M89" t="s">
        <v>500</v>
      </c>
      <c r="N89" t="s">
        <v>501</v>
      </c>
      <c r="O89" t="s">
        <v>82</v>
      </c>
      <c r="P89" t="str">
        <f>"INV-00119956 0137527576       "</f>
        <v xml:space="preserve">INV-00119956 0137527576       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5.87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88.87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3</v>
      </c>
      <c r="BI89">
        <v>14.5</v>
      </c>
      <c r="BJ89">
        <v>38.799999999999997</v>
      </c>
      <c r="BK89">
        <v>39</v>
      </c>
      <c r="BL89">
        <v>281.83999999999997</v>
      </c>
      <c r="BM89">
        <v>42.28</v>
      </c>
      <c r="BN89">
        <v>324.12</v>
      </c>
      <c r="BO89">
        <v>324.12</v>
      </c>
      <c r="BQ89" t="s">
        <v>502</v>
      </c>
      <c r="BR89" t="s">
        <v>84</v>
      </c>
      <c r="BS89" s="3">
        <v>45880</v>
      </c>
      <c r="BT89" s="4">
        <v>0.4375</v>
      </c>
      <c r="BU89" t="s">
        <v>503</v>
      </c>
      <c r="BV89" t="s">
        <v>86</v>
      </c>
      <c r="BY89">
        <v>194001.94</v>
      </c>
      <c r="CA89" t="s">
        <v>504</v>
      </c>
      <c r="CC89" t="s">
        <v>500</v>
      </c>
      <c r="CD89">
        <v>1200</v>
      </c>
      <c r="CE89" t="s">
        <v>386</v>
      </c>
      <c r="CF89" s="3">
        <v>45881</v>
      </c>
      <c r="CI89">
        <v>3</v>
      </c>
      <c r="CJ89">
        <v>3</v>
      </c>
      <c r="CK89">
        <v>41</v>
      </c>
      <c r="CL89" t="s">
        <v>90</v>
      </c>
    </row>
    <row r="90" spans="1:90" x14ac:dyDescent="0.3">
      <c r="A90" t="s">
        <v>72</v>
      </c>
      <c r="B90" t="s">
        <v>73</v>
      </c>
      <c r="C90" t="s">
        <v>74</v>
      </c>
      <c r="E90" t="str">
        <f>"GAB2027725"</f>
        <v>GAB2027725</v>
      </c>
      <c r="F90" s="3">
        <v>45875</v>
      </c>
      <c r="G90">
        <v>202605</v>
      </c>
      <c r="H90" t="s">
        <v>75</v>
      </c>
      <c r="I90" t="s">
        <v>76</v>
      </c>
      <c r="J90" t="s">
        <v>77</v>
      </c>
      <c r="K90" t="s">
        <v>78</v>
      </c>
      <c r="L90" t="s">
        <v>390</v>
      </c>
      <c r="M90" t="s">
        <v>391</v>
      </c>
      <c r="N90" t="s">
        <v>392</v>
      </c>
      <c r="O90" t="s">
        <v>82</v>
      </c>
      <c r="P90" t="str">
        <f>"INV-00119960 CT096406         "</f>
        <v xml:space="preserve">INV-00119960 CT096406         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5.87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62.96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1</v>
      </c>
      <c r="BI90">
        <v>8.4</v>
      </c>
      <c r="BJ90">
        <v>14.4</v>
      </c>
      <c r="BK90">
        <v>15</v>
      </c>
      <c r="BL90">
        <v>201.38</v>
      </c>
      <c r="BM90">
        <v>30.21</v>
      </c>
      <c r="BN90">
        <v>231.59</v>
      </c>
      <c r="BO90">
        <v>231.59</v>
      </c>
      <c r="BQ90" t="s">
        <v>393</v>
      </c>
      <c r="BR90" t="s">
        <v>84</v>
      </c>
      <c r="BS90" s="3">
        <v>45877</v>
      </c>
      <c r="BT90" s="4">
        <v>0.43402777777777779</v>
      </c>
      <c r="BU90" t="s">
        <v>505</v>
      </c>
      <c r="BV90" t="s">
        <v>86</v>
      </c>
      <c r="BY90">
        <v>72216</v>
      </c>
      <c r="CA90" t="s">
        <v>395</v>
      </c>
      <c r="CC90" t="s">
        <v>391</v>
      </c>
      <c r="CD90">
        <v>1739</v>
      </c>
      <c r="CE90" t="s">
        <v>200</v>
      </c>
      <c r="CF90" s="3">
        <v>45878</v>
      </c>
      <c r="CI90">
        <v>3</v>
      </c>
      <c r="CJ90">
        <v>2</v>
      </c>
      <c r="CK90">
        <v>43</v>
      </c>
      <c r="CL90" t="s">
        <v>90</v>
      </c>
    </row>
    <row r="91" spans="1:90" x14ac:dyDescent="0.3">
      <c r="A91" t="s">
        <v>72</v>
      </c>
      <c r="B91" t="s">
        <v>73</v>
      </c>
      <c r="C91" t="s">
        <v>74</v>
      </c>
      <c r="E91" t="str">
        <f>"GAB2027728"</f>
        <v>GAB2027728</v>
      </c>
      <c r="F91" s="3">
        <v>45875</v>
      </c>
      <c r="G91">
        <v>202605</v>
      </c>
      <c r="H91" t="s">
        <v>75</v>
      </c>
      <c r="I91" t="s">
        <v>76</v>
      </c>
      <c r="J91" t="s">
        <v>77</v>
      </c>
      <c r="K91" t="s">
        <v>78</v>
      </c>
      <c r="L91" t="s">
        <v>506</v>
      </c>
      <c r="M91" t="s">
        <v>507</v>
      </c>
      <c r="N91" t="s">
        <v>508</v>
      </c>
      <c r="O91" t="s">
        <v>82</v>
      </c>
      <c r="P91" t="str">
        <f>"INV-00119957 CT095485         "</f>
        <v xml:space="preserve">INV-00119957 CT095485         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5.87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143.36000000000001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1</v>
      </c>
      <c r="BI91">
        <v>29.5</v>
      </c>
      <c r="BJ91">
        <v>39.1</v>
      </c>
      <c r="BK91">
        <v>40</v>
      </c>
      <c r="BL91">
        <v>451.03</v>
      </c>
      <c r="BM91">
        <v>67.650000000000006</v>
      </c>
      <c r="BN91">
        <v>518.67999999999995</v>
      </c>
      <c r="BO91">
        <v>518.67999999999995</v>
      </c>
      <c r="BQ91" t="s">
        <v>509</v>
      </c>
      <c r="BR91" t="s">
        <v>84</v>
      </c>
      <c r="BS91" s="3">
        <v>45877</v>
      </c>
      <c r="BT91" s="4">
        <v>0.35416666666666669</v>
      </c>
      <c r="BU91" t="s">
        <v>510</v>
      </c>
      <c r="BV91" t="s">
        <v>86</v>
      </c>
      <c r="BY91">
        <v>195403.95</v>
      </c>
      <c r="CC91" t="s">
        <v>507</v>
      </c>
      <c r="CD91">
        <v>1983</v>
      </c>
      <c r="CE91" t="s">
        <v>89</v>
      </c>
      <c r="CF91" s="3">
        <v>45880</v>
      </c>
      <c r="CI91">
        <v>2</v>
      </c>
      <c r="CJ91">
        <v>2</v>
      </c>
      <c r="CK91">
        <v>43</v>
      </c>
      <c r="CL91" t="s">
        <v>90</v>
      </c>
    </row>
    <row r="92" spans="1:90" x14ac:dyDescent="0.3">
      <c r="A92" t="s">
        <v>72</v>
      </c>
      <c r="B92" t="s">
        <v>73</v>
      </c>
      <c r="C92" t="s">
        <v>74</v>
      </c>
      <c r="E92" t="str">
        <f>"GAB2027736"</f>
        <v>GAB2027736</v>
      </c>
      <c r="F92" s="3">
        <v>45875</v>
      </c>
      <c r="G92">
        <v>202605</v>
      </c>
      <c r="H92" t="s">
        <v>75</v>
      </c>
      <c r="I92" t="s">
        <v>76</v>
      </c>
      <c r="J92" t="s">
        <v>77</v>
      </c>
      <c r="K92" t="s">
        <v>78</v>
      </c>
      <c r="L92" t="s">
        <v>79</v>
      </c>
      <c r="M92" t="s">
        <v>80</v>
      </c>
      <c r="N92" t="s">
        <v>511</v>
      </c>
      <c r="O92" t="s">
        <v>82</v>
      </c>
      <c r="P92" t="str">
        <f>"INV-00038250 035185           "</f>
        <v xml:space="preserve">INV-00038250 035185           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5.87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44.64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1</v>
      </c>
      <c r="BI92">
        <v>2.9</v>
      </c>
      <c r="BJ92">
        <v>7.1</v>
      </c>
      <c r="BK92">
        <v>8</v>
      </c>
      <c r="BL92">
        <v>144.49</v>
      </c>
      <c r="BM92">
        <v>21.67</v>
      </c>
      <c r="BN92">
        <v>166.16</v>
      </c>
      <c r="BO92">
        <v>166.16</v>
      </c>
      <c r="BQ92" t="s">
        <v>341</v>
      </c>
      <c r="BR92" t="s">
        <v>84</v>
      </c>
      <c r="BS92" s="3">
        <v>45877</v>
      </c>
      <c r="BT92" s="4">
        <v>0.36458333333333331</v>
      </c>
      <c r="BU92" t="s">
        <v>512</v>
      </c>
      <c r="BV92" t="s">
        <v>86</v>
      </c>
      <c r="BY92">
        <v>35390.53</v>
      </c>
      <c r="CA92" t="s">
        <v>513</v>
      </c>
      <c r="CC92" t="s">
        <v>80</v>
      </c>
      <c r="CD92" s="5" t="s">
        <v>514</v>
      </c>
      <c r="CE92" t="s">
        <v>361</v>
      </c>
      <c r="CF92" s="3">
        <v>45877</v>
      </c>
      <c r="CI92">
        <v>3</v>
      </c>
      <c r="CJ92">
        <v>2</v>
      </c>
      <c r="CK92">
        <v>41</v>
      </c>
      <c r="CL92" t="s">
        <v>90</v>
      </c>
    </row>
    <row r="93" spans="1:90" x14ac:dyDescent="0.3">
      <c r="A93" t="s">
        <v>72</v>
      </c>
      <c r="B93" t="s">
        <v>73</v>
      </c>
      <c r="C93" t="s">
        <v>74</v>
      </c>
      <c r="E93" t="str">
        <f>"GAB2027738"</f>
        <v>GAB2027738</v>
      </c>
      <c r="F93" s="3">
        <v>45875</v>
      </c>
      <c r="G93">
        <v>202605</v>
      </c>
      <c r="H93" t="s">
        <v>75</v>
      </c>
      <c r="I93" t="s">
        <v>76</v>
      </c>
      <c r="J93" t="s">
        <v>77</v>
      </c>
      <c r="K93" t="s">
        <v>78</v>
      </c>
      <c r="L93" t="s">
        <v>190</v>
      </c>
      <c r="M93" t="s">
        <v>191</v>
      </c>
      <c r="N93" t="s">
        <v>398</v>
      </c>
      <c r="O93" t="s">
        <v>82</v>
      </c>
      <c r="P93" t="str">
        <f>"INV-00119975 00119964 CT096435"</f>
        <v>INV-00119975 00119964 CT096435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5.87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90.72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0</v>
      </c>
      <c r="AZ93">
        <v>0</v>
      </c>
      <c r="BA93">
        <v>0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2</v>
      </c>
      <c r="BI93">
        <v>16.899999999999999</v>
      </c>
      <c r="BJ93">
        <v>39.5</v>
      </c>
      <c r="BK93">
        <v>40</v>
      </c>
      <c r="BL93">
        <v>287.57</v>
      </c>
      <c r="BM93">
        <v>43.14</v>
      </c>
      <c r="BN93">
        <v>330.71</v>
      </c>
      <c r="BO93">
        <v>330.71</v>
      </c>
      <c r="BQ93" t="s">
        <v>399</v>
      </c>
      <c r="BR93" t="s">
        <v>84</v>
      </c>
      <c r="BS93" s="3">
        <v>45877</v>
      </c>
      <c r="BT93" s="4">
        <v>0.33819444444444446</v>
      </c>
      <c r="BU93" t="s">
        <v>194</v>
      </c>
      <c r="BV93" t="s">
        <v>86</v>
      </c>
      <c r="BY93">
        <v>197433.08</v>
      </c>
      <c r="CA93" t="s">
        <v>195</v>
      </c>
      <c r="CC93" t="s">
        <v>191</v>
      </c>
      <c r="CD93" s="5" t="s">
        <v>196</v>
      </c>
      <c r="CE93" t="s">
        <v>171</v>
      </c>
      <c r="CF93" s="3">
        <v>45877</v>
      </c>
      <c r="CI93">
        <v>3</v>
      </c>
      <c r="CJ93">
        <v>2</v>
      </c>
      <c r="CK93">
        <v>41</v>
      </c>
      <c r="CL93" t="s">
        <v>90</v>
      </c>
    </row>
    <row r="94" spans="1:90" x14ac:dyDescent="0.3">
      <c r="A94" t="s">
        <v>72</v>
      </c>
      <c r="B94" t="s">
        <v>73</v>
      </c>
      <c r="C94" t="s">
        <v>74</v>
      </c>
      <c r="E94" t="str">
        <f>"GAB2027739"</f>
        <v>GAB2027739</v>
      </c>
      <c r="F94" s="3">
        <v>45875</v>
      </c>
      <c r="G94">
        <v>202605</v>
      </c>
      <c r="H94" t="s">
        <v>75</v>
      </c>
      <c r="I94" t="s">
        <v>76</v>
      </c>
      <c r="J94" t="s">
        <v>77</v>
      </c>
      <c r="K94" t="s">
        <v>78</v>
      </c>
      <c r="L94" t="s">
        <v>91</v>
      </c>
      <c r="M94" t="s">
        <v>92</v>
      </c>
      <c r="N94" t="s">
        <v>515</v>
      </c>
      <c r="O94" t="s">
        <v>82</v>
      </c>
      <c r="P94" t="str">
        <f>"INV-00038251 034960           "</f>
        <v xml:space="preserve">INV-00038251 034960           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5.87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44.64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1</v>
      </c>
      <c r="BI94">
        <v>3.2</v>
      </c>
      <c r="BJ94">
        <v>6.1</v>
      </c>
      <c r="BK94">
        <v>7</v>
      </c>
      <c r="BL94">
        <v>144.49</v>
      </c>
      <c r="BM94">
        <v>21.67</v>
      </c>
      <c r="BN94">
        <v>166.16</v>
      </c>
      <c r="BO94">
        <v>166.16</v>
      </c>
      <c r="BQ94" t="s">
        <v>168</v>
      </c>
      <c r="BR94" t="s">
        <v>84</v>
      </c>
      <c r="BS94" s="3">
        <v>45880</v>
      </c>
      <c r="BT94" s="4">
        <v>0.54861111111111116</v>
      </c>
      <c r="BU94" t="s">
        <v>516</v>
      </c>
      <c r="BV94" t="s">
        <v>86</v>
      </c>
      <c r="BY94">
        <v>30527.25</v>
      </c>
      <c r="CA94" t="s">
        <v>517</v>
      </c>
      <c r="CC94" t="s">
        <v>92</v>
      </c>
      <c r="CD94">
        <v>4001</v>
      </c>
      <c r="CE94" t="s">
        <v>171</v>
      </c>
      <c r="CF94" s="3">
        <v>45881</v>
      </c>
      <c r="CI94">
        <v>3</v>
      </c>
      <c r="CJ94">
        <v>3</v>
      </c>
      <c r="CK94">
        <v>41</v>
      </c>
      <c r="CL94" t="s">
        <v>90</v>
      </c>
    </row>
    <row r="95" spans="1:90" x14ac:dyDescent="0.3">
      <c r="A95" t="s">
        <v>72</v>
      </c>
      <c r="B95" t="s">
        <v>73</v>
      </c>
      <c r="C95" t="s">
        <v>74</v>
      </c>
      <c r="E95" t="str">
        <f>"GAB2027740"</f>
        <v>GAB2027740</v>
      </c>
      <c r="F95" s="3">
        <v>45875</v>
      </c>
      <c r="G95">
        <v>202605</v>
      </c>
      <c r="H95" t="s">
        <v>75</v>
      </c>
      <c r="I95" t="s">
        <v>76</v>
      </c>
      <c r="J95" t="s">
        <v>77</v>
      </c>
      <c r="K95" t="s">
        <v>78</v>
      </c>
      <c r="L95" t="s">
        <v>518</v>
      </c>
      <c r="M95" t="s">
        <v>519</v>
      </c>
      <c r="N95" t="s">
        <v>520</v>
      </c>
      <c r="O95" t="s">
        <v>82</v>
      </c>
      <c r="P95" t="str">
        <f>"INV-00119976 CT096511         "</f>
        <v xml:space="preserve">INV-00119976 CT096511         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5.87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44.64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1</v>
      </c>
      <c r="BI95">
        <v>2.9</v>
      </c>
      <c r="BJ95">
        <v>6.1</v>
      </c>
      <c r="BK95">
        <v>7</v>
      </c>
      <c r="BL95">
        <v>144.49</v>
      </c>
      <c r="BM95">
        <v>21.67</v>
      </c>
      <c r="BN95">
        <v>166.16</v>
      </c>
      <c r="BO95">
        <v>166.16</v>
      </c>
      <c r="BR95" t="s">
        <v>84</v>
      </c>
      <c r="BS95" s="3">
        <v>45877</v>
      </c>
      <c r="BT95" s="4">
        <v>0.49861111111111112</v>
      </c>
      <c r="BU95" t="s">
        <v>521</v>
      </c>
      <c r="BV95" t="s">
        <v>86</v>
      </c>
      <c r="BY95">
        <v>30485.4</v>
      </c>
      <c r="CA95" t="s">
        <v>522</v>
      </c>
      <c r="CC95" t="s">
        <v>519</v>
      </c>
      <c r="CD95">
        <v>5201</v>
      </c>
      <c r="CE95" t="s">
        <v>171</v>
      </c>
      <c r="CF95" s="3">
        <v>45877</v>
      </c>
      <c r="CI95">
        <v>3</v>
      </c>
      <c r="CJ95">
        <v>2</v>
      </c>
      <c r="CK95">
        <v>41</v>
      </c>
      <c r="CL95" t="s">
        <v>90</v>
      </c>
    </row>
    <row r="96" spans="1:90" x14ac:dyDescent="0.3">
      <c r="A96" t="s">
        <v>72</v>
      </c>
      <c r="B96" t="s">
        <v>73</v>
      </c>
      <c r="C96" t="s">
        <v>74</v>
      </c>
      <c r="E96" t="str">
        <f>"GAB2027698"</f>
        <v>GAB2027698</v>
      </c>
      <c r="F96" s="3">
        <v>45875</v>
      </c>
      <c r="G96">
        <v>202605</v>
      </c>
      <c r="H96" t="s">
        <v>75</v>
      </c>
      <c r="I96" t="s">
        <v>76</v>
      </c>
      <c r="J96" t="s">
        <v>77</v>
      </c>
      <c r="K96" t="s">
        <v>78</v>
      </c>
      <c r="L96" t="s">
        <v>407</v>
      </c>
      <c r="M96" t="s">
        <v>408</v>
      </c>
      <c r="N96" t="s">
        <v>409</v>
      </c>
      <c r="O96" t="s">
        <v>100</v>
      </c>
      <c r="P96" t="str">
        <f>"INV-00119940 CT096493         "</f>
        <v xml:space="preserve">INV-00119940 CT096493         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54.82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0</v>
      </c>
      <c r="AY96">
        <v>0</v>
      </c>
      <c r="AZ96">
        <v>0</v>
      </c>
      <c r="BA96">
        <v>0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1</v>
      </c>
      <c r="BI96">
        <v>0.8</v>
      </c>
      <c r="BJ96">
        <v>2.5</v>
      </c>
      <c r="BK96">
        <v>2.5</v>
      </c>
      <c r="BL96">
        <v>170.24</v>
      </c>
      <c r="BM96">
        <v>25.54</v>
      </c>
      <c r="BN96">
        <v>195.78</v>
      </c>
      <c r="BO96">
        <v>195.78</v>
      </c>
      <c r="BQ96" t="s">
        <v>523</v>
      </c>
      <c r="BR96" t="s">
        <v>84</v>
      </c>
      <c r="BS96" s="3">
        <v>45877</v>
      </c>
      <c r="BT96" s="4">
        <v>0.66805555555555551</v>
      </c>
      <c r="BU96" t="s">
        <v>410</v>
      </c>
      <c r="BV96" t="s">
        <v>90</v>
      </c>
      <c r="BW96" t="s">
        <v>294</v>
      </c>
      <c r="BX96" t="s">
        <v>524</v>
      </c>
      <c r="BY96">
        <v>12487.86</v>
      </c>
      <c r="BZ96" t="s">
        <v>102</v>
      </c>
      <c r="CA96" t="s">
        <v>525</v>
      </c>
      <c r="CC96" t="s">
        <v>408</v>
      </c>
      <c r="CD96">
        <v>4420</v>
      </c>
      <c r="CE96" t="s">
        <v>143</v>
      </c>
      <c r="CF96" s="3">
        <v>45878</v>
      </c>
      <c r="CI96">
        <v>2</v>
      </c>
      <c r="CJ96">
        <v>2</v>
      </c>
      <c r="CK96">
        <v>23</v>
      </c>
      <c r="CL96" t="s">
        <v>90</v>
      </c>
    </row>
    <row r="97" spans="1:90" x14ac:dyDescent="0.3">
      <c r="A97" t="s">
        <v>72</v>
      </c>
      <c r="B97" t="s">
        <v>73</v>
      </c>
      <c r="C97" t="s">
        <v>74</v>
      </c>
      <c r="E97" t="str">
        <f>"GAB2027699"</f>
        <v>GAB2027699</v>
      </c>
      <c r="F97" s="3">
        <v>45875</v>
      </c>
      <c r="G97">
        <v>202605</v>
      </c>
      <c r="H97" t="s">
        <v>75</v>
      </c>
      <c r="I97" t="s">
        <v>76</v>
      </c>
      <c r="J97" t="s">
        <v>77</v>
      </c>
      <c r="K97" t="s">
        <v>78</v>
      </c>
      <c r="L97" t="s">
        <v>444</v>
      </c>
      <c r="M97" t="s">
        <v>445</v>
      </c>
      <c r="N97" t="s">
        <v>446</v>
      </c>
      <c r="O97" t="s">
        <v>100</v>
      </c>
      <c r="P97" t="str">
        <f>"INV-00038224 035041           "</f>
        <v xml:space="preserve">INV-00038224 035041           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44.73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0</v>
      </c>
      <c r="AY97">
        <v>0</v>
      </c>
      <c r="AZ97">
        <v>0</v>
      </c>
      <c r="BA97">
        <v>0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1</v>
      </c>
      <c r="BI97">
        <v>0.7</v>
      </c>
      <c r="BJ97">
        <v>1.9</v>
      </c>
      <c r="BK97">
        <v>2</v>
      </c>
      <c r="BL97">
        <v>138.88999999999999</v>
      </c>
      <c r="BM97">
        <v>20.83</v>
      </c>
      <c r="BN97">
        <v>159.72</v>
      </c>
      <c r="BO97">
        <v>159.72</v>
      </c>
      <c r="BQ97" t="s">
        <v>447</v>
      </c>
      <c r="BR97" t="s">
        <v>84</v>
      </c>
      <c r="BS97" s="3">
        <v>45876</v>
      </c>
      <c r="BT97" s="4">
        <v>0.37430555555555556</v>
      </c>
      <c r="BU97" t="s">
        <v>448</v>
      </c>
      <c r="BV97" t="s">
        <v>86</v>
      </c>
      <c r="BY97">
        <v>9276.56</v>
      </c>
      <c r="BZ97" t="s">
        <v>102</v>
      </c>
      <c r="CA97" t="s">
        <v>449</v>
      </c>
      <c r="CC97" t="s">
        <v>445</v>
      </c>
      <c r="CD97" s="5" t="s">
        <v>450</v>
      </c>
      <c r="CE97" t="s">
        <v>116</v>
      </c>
      <c r="CF97" s="3">
        <v>45877</v>
      </c>
      <c r="CI97">
        <v>2</v>
      </c>
      <c r="CJ97">
        <v>1</v>
      </c>
      <c r="CK97">
        <v>23</v>
      </c>
      <c r="CL97" t="s">
        <v>90</v>
      </c>
    </row>
    <row r="98" spans="1:90" x14ac:dyDescent="0.3">
      <c r="A98" t="s">
        <v>72</v>
      </c>
      <c r="B98" t="s">
        <v>73</v>
      </c>
      <c r="C98" t="s">
        <v>74</v>
      </c>
      <c r="E98" t="str">
        <f>"GAB2027700"</f>
        <v>GAB2027700</v>
      </c>
      <c r="F98" s="3">
        <v>45875</v>
      </c>
      <c r="G98">
        <v>202605</v>
      </c>
      <c r="H98" t="s">
        <v>75</v>
      </c>
      <c r="I98" t="s">
        <v>76</v>
      </c>
      <c r="J98" t="s">
        <v>77</v>
      </c>
      <c r="K98" t="s">
        <v>78</v>
      </c>
      <c r="L98" t="s">
        <v>97</v>
      </c>
      <c r="M98" t="s">
        <v>98</v>
      </c>
      <c r="N98" t="s">
        <v>99</v>
      </c>
      <c r="O98" t="s">
        <v>100</v>
      </c>
      <c r="P98" t="str">
        <f>"INV-00119935 CT096486         "</f>
        <v xml:space="preserve">INV-00119935 CT096486         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28.85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0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1</v>
      </c>
      <c r="BI98">
        <v>0.7</v>
      </c>
      <c r="BJ98">
        <v>2.2000000000000002</v>
      </c>
      <c r="BK98">
        <v>2.5</v>
      </c>
      <c r="BL98">
        <v>89.59</v>
      </c>
      <c r="BM98">
        <v>13.44</v>
      </c>
      <c r="BN98">
        <v>103.03</v>
      </c>
      <c r="BO98">
        <v>103.03</v>
      </c>
      <c r="BR98" t="s">
        <v>84</v>
      </c>
      <c r="BS98" s="3">
        <v>45876</v>
      </c>
      <c r="BT98" s="4">
        <v>0.42708333333333331</v>
      </c>
      <c r="BU98" t="s">
        <v>101</v>
      </c>
      <c r="BV98" t="s">
        <v>86</v>
      </c>
      <c r="BY98">
        <v>10764.9</v>
      </c>
      <c r="BZ98" t="s">
        <v>102</v>
      </c>
      <c r="CA98" t="s">
        <v>103</v>
      </c>
      <c r="CC98" t="s">
        <v>98</v>
      </c>
      <c r="CD98">
        <v>2146</v>
      </c>
      <c r="CE98" t="s">
        <v>109</v>
      </c>
      <c r="CF98" s="3">
        <v>45876</v>
      </c>
      <c r="CI98">
        <v>1</v>
      </c>
      <c r="CJ98">
        <v>1</v>
      </c>
      <c r="CK98">
        <v>21</v>
      </c>
      <c r="CL98" t="s">
        <v>90</v>
      </c>
    </row>
    <row r="99" spans="1:90" x14ac:dyDescent="0.3">
      <c r="A99" t="s">
        <v>72</v>
      </c>
      <c r="B99" t="s">
        <v>73</v>
      </c>
      <c r="C99" t="s">
        <v>74</v>
      </c>
      <c r="E99" t="str">
        <f>"GAB2027701"</f>
        <v>GAB2027701</v>
      </c>
      <c r="F99" s="3">
        <v>45875</v>
      </c>
      <c r="G99">
        <v>202605</v>
      </c>
      <c r="H99" t="s">
        <v>75</v>
      </c>
      <c r="I99" t="s">
        <v>76</v>
      </c>
      <c r="J99" t="s">
        <v>77</v>
      </c>
      <c r="K99" t="s">
        <v>78</v>
      </c>
      <c r="L99" t="s">
        <v>226</v>
      </c>
      <c r="M99" t="s">
        <v>227</v>
      </c>
      <c r="N99" t="s">
        <v>266</v>
      </c>
      <c r="O99" t="s">
        <v>100</v>
      </c>
      <c r="P99" t="str">
        <f>"INV-00119936 CT096490         "</f>
        <v xml:space="preserve">INV-00119936 CT096490         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23.09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1</v>
      </c>
      <c r="BI99">
        <v>0.7</v>
      </c>
      <c r="BJ99">
        <v>1.9</v>
      </c>
      <c r="BK99">
        <v>2</v>
      </c>
      <c r="BL99">
        <v>71.69</v>
      </c>
      <c r="BM99">
        <v>10.75</v>
      </c>
      <c r="BN99">
        <v>82.44</v>
      </c>
      <c r="BO99">
        <v>82.44</v>
      </c>
      <c r="BR99" t="s">
        <v>84</v>
      </c>
      <c r="BS99" s="3">
        <v>45877</v>
      </c>
      <c r="BT99" s="4">
        <v>0.4909722222222222</v>
      </c>
      <c r="BU99" t="s">
        <v>526</v>
      </c>
      <c r="BV99" t="s">
        <v>86</v>
      </c>
      <c r="BY99">
        <v>9323.74</v>
      </c>
      <c r="BZ99" t="s">
        <v>102</v>
      </c>
      <c r="CA99" t="s">
        <v>527</v>
      </c>
      <c r="CC99" t="s">
        <v>227</v>
      </c>
      <c r="CD99">
        <v>3610</v>
      </c>
      <c r="CE99" t="s">
        <v>116</v>
      </c>
      <c r="CF99" s="3">
        <v>45878</v>
      </c>
      <c r="CI99">
        <v>2</v>
      </c>
      <c r="CJ99">
        <v>2</v>
      </c>
      <c r="CK99">
        <v>21</v>
      </c>
      <c r="CL99" t="s">
        <v>90</v>
      </c>
    </row>
    <row r="100" spans="1:90" x14ac:dyDescent="0.3">
      <c r="A100" t="s">
        <v>72</v>
      </c>
      <c r="B100" t="s">
        <v>73</v>
      </c>
      <c r="C100" t="s">
        <v>74</v>
      </c>
      <c r="E100" t="str">
        <f>"GAB2027702"</f>
        <v>GAB2027702</v>
      </c>
      <c r="F100" s="3">
        <v>45875</v>
      </c>
      <c r="G100">
        <v>202605</v>
      </c>
      <c r="H100" t="s">
        <v>75</v>
      </c>
      <c r="I100" t="s">
        <v>76</v>
      </c>
      <c r="J100" t="s">
        <v>77</v>
      </c>
      <c r="K100" t="s">
        <v>78</v>
      </c>
      <c r="L100" t="s">
        <v>79</v>
      </c>
      <c r="M100" t="s">
        <v>80</v>
      </c>
      <c r="N100" t="s">
        <v>404</v>
      </c>
      <c r="O100" t="s">
        <v>100</v>
      </c>
      <c r="P100" t="str">
        <f>"INV-00119938 CT096492         "</f>
        <v xml:space="preserve">INV-00119938 CT096492         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28.85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1</v>
      </c>
      <c r="BI100">
        <v>0.7</v>
      </c>
      <c r="BJ100">
        <v>2.2000000000000002</v>
      </c>
      <c r="BK100">
        <v>2.5</v>
      </c>
      <c r="BL100">
        <v>89.59</v>
      </c>
      <c r="BM100">
        <v>13.44</v>
      </c>
      <c r="BN100">
        <v>103.03</v>
      </c>
      <c r="BO100">
        <v>103.03</v>
      </c>
      <c r="BQ100" t="s">
        <v>528</v>
      </c>
      <c r="BR100" t="s">
        <v>84</v>
      </c>
      <c r="BS100" s="3">
        <v>45876</v>
      </c>
      <c r="BT100" s="4">
        <v>0.4201388888888889</v>
      </c>
      <c r="BU100" t="s">
        <v>529</v>
      </c>
      <c r="BV100" t="s">
        <v>86</v>
      </c>
      <c r="BY100">
        <v>10863.26</v>
      </c>
      <c r="BZ100" t="s">
        <v>530</v>
      </c>
      <c r="CA100" t="s">
        <v>282</v>
      </c>
      <c r="CC100" t="s">
        <v>80</v>
      </c>
      <c r="CD100" s="5" t="s">
        <v>237</v>
      </c>
      <c r="CE100" t="s">
        <v>116</v>
      </c>
      <c r="CF100" s="3">
        <v>45876</v>
      </c>
      <c r="CI100">
        <v>1</v>
      </c>
      <c r="CJ100">
        <v>1</v>
      </c>
      <c r="CK100">
        <v>21</v>
      </c>
      <c r="CL100" t="s">
        <v>90</v>
      </c>
    </row>
    <row r="101" spans="1:90" x14ac:dyDescent="0.3">
      <c r="A101" t="s">
        <v>72</v>
      </c>
      <c r="B101" t="s">
        <v>73</v>
      </c>
      <c r="C101" t="s">
        <v>74</v>
      </c>
      <c r="E101" t="str">
        <f>"GAB2027703"</f>
        <v>GAB2027703</v>
      </c>
      <c r="F101" s="3">
        <v>45875</v>
      </c>
      <c r="G101">
        <v>202605</v>
      </c>
      <c r="H101" t="s">
        <v>75</v>
      </c>
      <c r="I101" t="s">
        <v>76</v>
      </c>
      <c r="J101" t="s">
        <v>77</v>
      </c>
      <c r="K101" t="s">
        <v>78</v>
      </c>
      <c r="L101" t="s">
        <v>79</v>
      </c>
      <c r="M101" t="s">
        <v>80</v>
      </c>
      <c r="N101" t="s">
        <v>531</v>
      </c>
      <c r="O101" t="s">
        <v>100</v>
      </c>
      <c r="P101" t="str">
        <f>"INV-00119944 CT096422         "</f>
        <v xml:space="preserve">INV-00119944 CT096422         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28.85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0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1</v>
      </c>
      <c r="BI101">
        <v>1.4</v>
      </c>
      <c r="BJ101">
        <v>2.4</v>
      </c>
      <c r="BK101">
        <v>2.5</v>
      </c>
      <c r="BL101">
        <v>89.59</v>
      </c>
      <c r="BM101">
        <v>13.44</v>
      </c>
      <c r="BN101">
        <v>103.03</v>
      </c>
      <c r="BO101">
        <v>103.03</v>
      </c>
      <c r="BQ101" t="s">
        <v>532</v>
      </c>
      <c r="BR101" t="s">
        <v>84</v>
      </c>
      <c r="BS101" s="3">
        <v>45876</v>
      </c>
      <c r="BT101" s="4">
        <v>0.43680555555555556</v>
      </c>
      <c r="BU101" t="s">
        <v>533</v>
      </c>
      <c r="BV101" t="s">
        <v>86</v>
      </c>
      <c r="BY101">
        <v>11751.48</v>
      </c>
      <c r="BZ101" t="s">
        <v>102</v>
      </c>
      <c r="CA101" t="s">
        <v>534</v>
      </c>
      <c r="CC101" t="s">
        <v>80</v>
      </c>
      <c r="CD101" s="5" t="s">
        <v>535</v>
      </c>
      <c r="CE101" t="s">
        <v>476</v>
      </c>
      <c r="CF101" s="3">
        <v>45876</v>
      </c>
      <c r="CI101">
        <v>1</v>
      </c>
      <c r="CJ101">
        <v>1</v>
      </c>
      <c r="CK101">
        <v>21</v>
      </c>
      <c r="CL101" t="s">
        <v>90</v>
      </c>
    </row>
    <row r="102" spans="1:90" x14ac:dyDescent="0.3">
      <c r="A102" t="s">
        <v>72</v>
      </c>
      <c r="B102" t="s">
        <v>73</v>
      </c>
      <c r="C102" t="s">
        <v>74</v>
      </c>
      <c r="E102" t="str">
        <f>"GAB2027705"</f>
        <v>GAB2027705</v>
      </c>
      <c r="F102" s="3">
        <v>45875</v>
      </c>
      <c r="G102">
        <v>202605</v>
      </c>
      <c r="H102" t="s">
        <v>75</v>
      </c>
      <c r="I102" t="s">
        <v>76</v>
      </c>
      <c r="J102" t="s">
        <v>77</v>
      </c>
      <c r="K102" t="s">
        <v>78</v>
      </c>
      <c r="L102" t="s">
        <v>499</v>
      </c>
      <c r="M102" t="s">
        <v>500</v>
      </c>
      <c r="N102" t="s">
        <v>501</v>
      </c>
      <c r="O102" t="s">
        <v>100</v>
      </c>
      <c r="P102" t="str">
        <f>"INV-00119946 CT096498         "</f>
        <v xml:space="preserve">INV-00119946 CT096498         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28.85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0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1</v>
      </c>
      <c r="BI102">
        <v>0.7</v>
      </c>
      <c r="BJ102">
        <v>2.1</v>
      </c>
      <c r="BK102">
        <v>2.5</v>
      </c>
      <c r="BL102">
        <v>89.59</v>
      </c>
      <c r="BM102">
        <v>13.44</v>
      </c>
      <c r="BN102">
        <v>103.03</v>
      </c>
      <c r="BO102">
        <v>103.03</v>
      </c>
      <c r="BQ102" t="s">
        <v>502</v>
      </c>
      <c r="BR102" t="s">
        <v>84</v>
      </c>
      <c r="BS102" s="3">
        <v>45877</v>
      </c>
      <c r="BT102" s="4">
        <v>0.42708333333333331</v>
      </c>
      <c r="BU102" t="s">
        <v>536</v>
      </c>
      <c r="BV102" t="s">
        <v>86</v>
      </c>
      <c r="BY102">
        <v>10723.6</v>
      </c>
      <c r="BZ102" t="s">
        <v>102</v>
      </c>
      <c r="CA102" t="s">
        <v>504</v>
      </c>
      <c r="CC102" t="s">
        <v>500</v>
      </c>
      <c r="CD102">
        <v>1200</v>
      </c>
      <c r="CE102" t="s">
        <v>109</v>
      </c>
      <c r="CF102" s="3">
        <v>45877</v>
      </c>
      <c r="CI102">
        <v>2</v>
      </c>
      <c r="CJ102">
        <v>2</v>
      </c>
      <c r="CK102">
        <v>21</v>
      </c>
      <c r="CL102" t="s">
        <v>90</v>
      </c>
    </row>
    <row r="103" spans="1:90" x14ac:dyDescent="0.3">
      <c r="A103" t="s">
        <v>72</v>
      </c>
      <c r="B103" t="s">
        <v>73</v>
      </c>
      <c r="C103" t="s">
        <v>74</v>
      </c>
      <c r="E103" t="str">
        <f>"GAB2027708"</f>
        <v>GAB2027708</v>
      </c>
      <c r="F103" s="3">
        <v>45875</v>
      </c>
      <c r="G103">
        <v>202605</v>
      </c>
      <c r="H103" t="s">
        <v>75</v>
      </c>
      <c r="I103" t="s">
        <v>76</v>
      </c>
      <c r="J103" t="s">
        <v>77</v>
      </c>
      <c r="K103" t="s">
        <v>78</v>
      </c>
      <c r="L103" t="s">
        <v>91</v>
      </c>
      <c r="M103" t="s">
        <v>92</v>
      </c>
      <c r="N103" t="s">
        <v>537</v>
      </c>
      <c r="O103" t="s">
        <v>100</v>
      </c>
      <c r="P103" t="str">
        <f>"INV-00119949 CT096476         "</f>
        <v xml:space="preserve">INV-00119949 CT096476         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34.619999999999997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0</v>
      </c>
      <c r="AY103">
        <v>0</v>
      </c>
      <c r="AZ103">
        <v>0</v>
      </c>
      <c r="BA103">
        <v>0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1</v>
      </c>
      <c r="BI103">
        <v>1.6</v>
      </c>
      <c r="BJ103">
        <v>2.6</v>
      </c>
      <c r="BK103">
        <v>3</v>
      </c>
      <c r="BL103">
        <v>107.5</v>
      </c>
      <c r="BM103">
        <v>16.13</v>
      </c>
      <c r="BN103">
        <v>123.63</v>
      </c>
      <c r="BO103">
        <v>123.63</v>
      </c>
      <c r="BR103" t="s">
        <v>84</v>
      </c>
      <c r="BS103" s="3">
        <v>45877</v>
      </c>
      <c r="BT103" s="4">
        <v>0.47152777777777777</v>
      </c>
      <c r="BU103" t="s">
        <v>538</v>
      </c>
      <c r="BV103" t="s">
        <v>90</v>
      </c>
      <c r="BW103" t="s">
        <v>294</v>
      </c>
      <c r="BX103" t="s">
        <v>432</v>
      </c>
      <c r="BY103">
        <v>12864</v>
      </c>
      <c r="BZ103" t="s">
        <v>102</v>
      </c>
      <c r="CA103" t="s">
        <v>433</v>
      </c>
      <c r="CC103" t="s">
        <v>92</v>
      </c>
      <c r="CD103">
        <v>4001</v>
      </c>
      <c r="CE103" t="s">
        <v>335</v>
      </c>
      <c r="CF103" s="3">
        <v>45878</v>
      </c>
      <c r="CI103">
        <v>2</v>
      </c>
      <c r="CJ103">
        <v>2</v>
      </c>
      <c r="CK103">
        <v>21</v>
      </c>
      <c r="CL103" t="s">
        <v>90</v>
      </c>
    </row>
    <row r="104" spans="1:90" x14ac:dyDescent="0.3">
      <c r="A104" t="s">
        <v>72</v>
      </c>
      <c r="B104" t="s">
        <v>73</v>
      </c>
      <c r="C104" t="s">
        <v>74</v>
      </c>
      <c r="E104" t="str">
        <f>"GAB2027709"</f>
        <v>GAB2027709</v>
      </c>
      <c r="F104" s="3">
        <v>45875</v>
      </c>
      <c r="G104">
        <v>202605</v>
      </c>
      <c r="H104" t="s">
        <v>75</v>
      </c>
      <c r="I104" t="s">
        <v>76</v>
      </c>
      <c r="J104" t="s">
        <v>77</v>
      </c>
      <c r="K104" t="s">
        <v>78</v>
      </c>
      <c r="L104" t="s">
        <v>539</v>
      </c>
      <c r="M104" t="s">
        <v>540</v>
      </c>
      <c r="N104" t="s">
        <v>541</v>
      </c>
      <c r="O104" t="s">
        <v>100</v>
      </c>
      <c r="P104" t="str">
        <f>"INV-00119950 CT096487         "</f>
        <v xml:space="preserve">INV-00119950 CT096487         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28.85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0</v>
      </c>
      <c r="AY104">
        <v>0</v>
      </c>
      <c r="AZ104">
        <v>0</v>
      </c>
      <c r="BA104">
        <v>0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1</v>
      </c>
      <c r="BI104">
        <v>1</v>
      </c>
      <c r="BJ104">
        <v>2.4</v>
      </c>
      <c r="BK104">
        <v>2.5</v>
      </c>
      <c r="BL104">
        <v>89.59</v>
      </c>
      <c r="BM104">
        <v>13.44</v>
      </c>
      <c r="BN104">
        <v>103.03</v>
      </c>
      <c r="BO104">
        <v>103.03</v>
      </c>
      <c r="BR104" t="s">
        <v>84</v>
      </c>
      <c r="BS104" s="3">
        <v>45876</v>
      </c>
      <c r="BT104" s="4">
        <v>0.42638888888888887</v>
      </c>
      <c r="BU104" t="s">
        <v>542</v>
      </c>
      <c r="BV104" t="s">
        <v>86</v>
      </c>
      <c r="BY104">
        <v>12017.92</v>
      </c>
      <c r="BZ104" t="s">
        <v>102</v>
      </c>
      <c r="CA104" t="s">
        <v>543</v>
      </c>
      <c r="CC104" t="s">
        <v>540</v>
      </c>
      <c r="CD104">
        <v>1501</v>
      </c>
      <c r="CE104" t="s">
        <v>544</v>
      </c>
      <c r="CF104" s="3">
        <v>45876</v>
      </c>
      <c r="CI104">
        <v>1</v>
      </c>
      <c r="CJ104">
        <v>1</v>
      </c>
      <c r="CK104">
        <v>21</v>
      </c>
      <c r="CL104" t="s">
        <v>90</v>
      </c>
    </row>
    <row r="105" spans="1:90" x14ac:dyDescent="0.3">
      <c r="A105" t="s">
        <v>72</v>
      </c>
      <c r="B105" t="s">
        <v>73</v>
      </c>
      <c r="C105" t="s">
        <v>74</v>
      </c>
      <c r="E105" t="str">
        <f>"GAB2027710"</f>
        <v>GAB2027710</v>
      </c>
      <c r="F105" s="3">
        <v>45875</v>
      </c>
      <c r="G105">
        <v>202605</v>
      </c>
      <c r="H105" t="s">
        <v>75</v>
      </c>
      <c r="I105" t="s">
        <v>76</v>
      </c>
      <c r="J105" t="s">
        <v>77</v>
      </c>
      <c r="K105" t="s">
        <v>78</v>
      </c>
      <c r="L105" t="s">
        <v>545</v>
      </c>
      <c r="M105" t="s">
        <v>546</v>
      </c>
      <c r="N105" t="s">
        <v>547</v>
      </c>
      <c r="O105" t="s">
        <v>100</v>
      </c>
      <c r="P105" t="str">
        <f>"INV-00038231 035228           "</f>
        <v xml:space="preserve">INV-00038231 035228           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28.85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1</v>
      </c>
      <c r="BI105">
        <v>0.8</v>
      </c>
      <c r="BJ105">
        <v>2.2999999999999998</v>
      </c>
      <c r="BK105">
        <v>2.5</v>
      </c>
      <c r="BL105">
        <v>89.59</v>
      </c>
      <c r="BM105">
        <v>13.44</v>
      </c>
      <c r="BN105">
        <v>103.03</v>
      </c>
      <c r="BO105">
        <v>103.03</v>
      </c>
      <c r="BQ105" t="s">
        <v>548</v>
      </c>
      <c r="BR105" t="s">
        <v>84</v>
      </c>
      <c r="BS105" s="3">
        <v>45876</v>
      </c>
      <c r="BT105" s="4">
        <v>0.36805555555555558</v>
      </c>
      <c r="BU105" t="s">
        <v>549</v>
      </c>
      <c r="BV105" t="s">
        <v>86</v>
      </c>
      <c r="BY105">
        <v>11599.04</v>
      </c>
      <c r="BZ105" t="s">
        <v>530</v>
      </c>
      <c r="CA105" t="s">
        <v>550</v>
      </c>
      <c r="CC105" t="s">
        <v>546</v>
      </c>
      <c r="CD105">
        <v>1619</v>
      </c>
      <c r="CE105" t="s">
        <v>109</v>
      </c>
      <c r="CF105" s="3">
        <v>45876</v>
      </c>
      <c r="CI105">
        <v>1</v>
      </c>
      <c r="CJ105">
        <v>1</v>
      </c>
      <c r="CK105">
        <v>21</v>
      </c>
      <c r="CL105" t="s">
        <v>90</v>
      </c>
    </row>
    <row r="106" spans="1:90" x14ac:dyDescent="0.3">
      <c r="A106" t="s">
        <v>72</v>
      </c>
      <c r="B106" t="s">
        <v>73</v>
      </c>
      <c r="C106" t="s">
        <v>74</v>
      </c>
      <c r="E106" t="str">
        <f>"GAB2027711"</f>
        <v>GAB2027711</v>
      </c>
      <c r="F106" s="3">
        <v>45875</v>
      </c>
      <c r="G106">
        <v>202605</v>
      </c>
      <c r="H106" t="s">
        <v>75</v>
      </c>
      <c r="I106" t="s">
        <v>76</v>
      </c>
      <c r="J106" t="s">
        <v>257</v>
      </c>
      <c r="K106" t="s">
        <v>78</v>
      </c>
      <c r="L106" t="s">
        <v>75</v>
      </c>
      <c r="M106" t="s">
        <v>76</v>
      </c>
      <c r="N106" t="s">
        <v>551</v>
      </c>
      <c r="O106" t="s">
        <v>100</v>
      </c>
      <c r="P106" t="str">
        <f>"INV-00038229 034649           "</f>
        <v xml:space="preserve">INV-00038229 034649           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18.03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0</v>
      </c>
      <c r="AY106">
        <v>0</v>
      </c>
      <c r="AZ106">
        <v>0</v>
      </c>
      <c r="BA106">
        <v>0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1</v>
      </c>
      <c r="BI106">
        <v>0.6</v>
      </c>
      <c r="BJ106">
        <v>2.8</v>
      </c>
      <c r="BK106">
        <v>3</v>
      </c>
      <c r="BL106">
        <v>55.99</v>
      </c>
      <c r="BM106">
        <v>8.4</v>
      </c>
      <c r="BN106">
        <v>64.39</v>
      </c>
      <c r="BO106">
        <v>64.39</v>
      </c>
      <c r="BQ106" t="s">
        <v>552</v>
      </c>
      <c r="BR106" t="s">
        <v>491</v>
      </c>
      <c r="BS106" s="3">
        <v>45876</v>
      </c>
      <c r="BT106" s="4">
        <v>0.41666666666666669</v>
      </c>
      <c r="BU106" t="s">
        <v>553</v>
      </c>
      <c r="BV106" t="s">
        <v>86</v>
      </c>
      <c r="BY106">
        <v>14067.9</v>
      </c>
      <c r="BZ106" t="s">
        <v>530</v>
      </c>
      <c r="CA106" t="s">
        <v>554</v>
      </c>
      <c r="CC106" t="s">
        <v>76</v>
      </c>
      <c r="CD106">
        <v>7579</v>
      </c>
      <c r="CE106" t="s">
        <v>555</v>
      </c>
      <c r="CF106" s="3">
        <v>45877</v>
      </c>
      <c r="CI106">
        <v>1</v>
      </c>
      <c r="CJ106">
        <v>1</v>
      </c>
      <c r="CK106">
        <v>22</v>
      </c>
      <c r="CL106" t="s">
        <v>90</v>
      </c>
    </row>
    <row r="107" spans="1:90" x14ac:dyDescent="0.3">
      <c r="A107" t="s">
        <v>72</v>
      </c>
      <c r="B107" t="s">
        <v>73</v>
      </c>
      <c r="C107" t="s">
        <v>74</v>
      </c>
      <c r="E107" t="str">
        <f>"GAB2027712"</f>
        <v>GAB2027712</v>
      </c>
      <c r="F107" s="3">
        <v>45875</v>
      </c>
      <c r="G107">
        <v>202605</v>
      </c>
      <c r="H107" t="s">
        <v>75</v>
      </c>
      <c r="I107" t="s">
        <v>76</v>
      </c>
      <c r="J107" t="s">
        <v>77</v>
      </c>
      <c r="K107" t="s">
        <v>78</v>
      </c>
      <c r="L107" t="s">
        <v>518</v>
      </c>
      <c r="M107" t="s">
        <v>519</v>
      </c>
      <c r="N107" t="s">
        <v>556</v>
      </c>
      <c r="O107" t="s">
        <v>100</v>
      </c>
      <c r="P107" t="str">
        <f>"INV-00038228 035224           "</f>
        <v xml:space="preserve">INV-00038228 035224           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23.09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1</v>
      </c>
      <c r="BI107">
        <v>0.7</v>
      </c>
      <c r="BJ107">
        <v>1.9</v>
      </c>
      <c r="BK107">
        <v>2</v>
      </c>
      <c r="BL107">
        <v>71.69</v>
      </c>
      <c r="BM107">
        <v>10.75</v>
      </c>
      <c r="BN107">
        <v>82.44</v>
      </c>
      <c r="BO107">
        <v>82.44</v>
      </c>
      <c r="BQ107" t="s">
        <v>557</v>
      </c>
      <c r="BR107" t="s">
        <v>84</v>
      </c>
      <c r="BS107" s="3">
        <v>45876</v>
      </c>
      <c r="BT107" s="4">
        <v>0.4375</v>
      </c>
      <c r="BU107" t="s">
        <v>558</v>
      </c>
      <c r="BV107" t="s">
        <v>86</v>
      </c>
      <c r="BY107">
        <v>9432.99</v>
      </c>
      <c r="BZ107" t="s">
        <v>102</v>
      </c>
      <c r="CA107" t="s">
        <v>559</v>
      </c>
      <c r="CC107" t="s">
        <v>519</v>
      </c>
      <c r="CD107">
        <v>5213</v>
      </c>
      <c r="CE107" t="s">
        <v>297</v>
      </c>
      <c r="CF107" s="3">
        <v>45877</v>
      </c>
      <c r="CI107">
        <v>1</v>
      </c>
      <c r="CJ107">
        <v>1</v>
      </c>
      <c r="CK107">
        <v>21</v>
      </c>
      <c r="CL107" t="s">
        <v>90</v>
      </c>
    </row>
    <row r="108" spans="1:90" x14ac:dyDescent="0.3">
      <c r="A108" t="s">
        <v>72</v>
      </c>
      <c r="B108" t="s">
        <v>73</v>
      </c>
      <c r="C108" t="s">
        <v>74</v>
      </c>
      <c r="E108" t="str">
        <f>"GAB2027719"</f>
        <v>GAB2027719</v>
      </c>
      <c r="F108" s="3">
        <v>45875</v>
      </c>
      <c r="G108">
        <v>202605</v>
      </c>
      <c r="H108" t="s">
        <v>75</v>
      </c>
      <c r="I108" t="s">
        <v>76</v>
      </c>
      <c r="J108" t="s">
        <v>77</v>
      </c>
      <c r="K108" t="s">
        <v>78</v>
      </c>
      <c r="L108" t="s">
        <v>79</v>
      </c>
      <c r="M108" t="s">
        <v>80</v>
      </c>
      <c r="N108" t="s">
        <v>457</v>
      </c>
      <c r="O108" t="s">
        <v>100</v>
      </c>
      <c r="P108" t="str">
        <f>"INV-00119947 CT096402         "</f>
        <v xml:space="preserve">INV-00119947 CT096402         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28.85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1</v>
      </c>
      <c r="BI108">
        <v>1.1000000000000001</v>
      </c>
      <c r="BJ108">
        <v>2.4</v>
      </c>
      <c r="BK108">
        <v>2.5</v>
      </c>
      <c r="BL108">
        <v>89.59</v>
      </c>
      <c r="BM108">
        <v>13.44</v>
      </c>
      <c r="BN108">
        <v>103.03</v>
      </c>
      <c r="BO108">
        <v>103.03</v>
      </c>
      <c r="BQ108" t="s">
        <v>458</v>
      </c>
      <c r="BR108" t="s">
        <v>84</v>
      </c>
      <c r="BS108" s="3">
        <v>45876</v>
      </c>
      <c r="BT108" s="4">
        <v>0.42708333333333331</v>
      </c>
      <c r="BU108" t="s">
        <v>459</v>
      </c>
      <c r="BV108" t="s">
        <v>86</v>
      </c>
      <c r="BY108">
        <v>12117.07</v>
      </c>
      <c r="BZ108" t="s">
        <v>530</v>
      </c>
      <c r="CA108" t="s">
        <v>560</v>
      </c>
      <c r="CC108" t="s">
        <v>80</v>
      </c>
      <c r="CD108" s="5" t="s">
        <v>237</v>
      </c>
      <c r="CE108" t="s">
        <v>544</v>
      </c>
      <c r="CF108" s="3">
        <v>45876</v>
      </c>
      <c r="CI108">
        <v>1</v>
      </c>
      <c r="CJ108">
        <v>1</v>
      </c>
      <c r="CK108">
        <v>21</v>
      </c>
      <c r="CL108" t="s">
        <v>90</v>
      </c>
    </row>
    <row r="109" spans="1:90" x14ac:dyDescent="0.3">
      <c r="A109" t="s">
        <v>72</v>
      </c>
      <c r="B109" t="s">
        <v>73</v>
      </c>
      <c r="C109" t="s">
        <v>74</v>
      </c>
      <c r="E109" t="str">
        <f>"GAB2027720"</f>
        <v>GAB2027720</v>
      </c>
      <c r="F109" s="3">
        <v>45875</v>
      </c>
      <c r="G109">
        <v>202605</v>
      </c>
      <c r="H109" t="s">
        <v>75</v>
      </c>
      <c r="I109" t="s">
        <v>76</v>
      </c>
      <c r="J109" t="s">
        <v>77</v>
      </c>
      <c r="K109" t="s">
        <v>78</v>
      </c>
      <c r="L109" t="s">
        <v>415</v>
      </c>
      <c r="M109" t="s">
        <v>416</v>
      </c>
      <c r="N109" t="s">
        <v>451</v>
      </c>
      <c r="O109" t="s">
        <v>100</v>
      </c>
      <c r="P109" t="str">
        <f>"INV-00038226 035127           "</f>
        <v xml:space="preserve">INV-00038226 035127           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28.85</v>
      </c>
      <c r="AR109">
        <v>0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>
        <v>0</v>
      </c>
      <c r="AZ109">
        <v>0</v>
      </c>
      <c r="BA109">
        <v>0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1</v>
      </c>
      <c r="BI109">
        <v>0.7</v>
      </c>
      <c r="BJ109">
        <v>2.1</v>
      </c>
      <c r="BK109">
        <v>2.5</v>
      </c>
      <c r="BL109">
        <v>89.59</v>
      </c>
      <c r="BM109">
        <v>13.44</v>
      </c>
      <c r="BN109">
        <v>103.03</v>
      </c>
      <c r="BO109">
        <v>103.03</v>
      </c>
      <c r="BQ109" t="s">
        <v>135</v>
      </c>
      <c r="BR109" t="s">
        <v>84</v>
      </c>
      <c r="BS109" s="3">
        <v>45876</v>
      </c>
      <c r="BT109" s="4">
        <v>0.33263888888888887</v>
      </c>
      <c r="BU109" t="s">
        <v>561</v>
      </c>
      <c r="BV109" t="s">
        <v>86</v>
      </c>
      <c r="BY109">
        <v>10604.99</v>
      </c>
      <c r="BZ109" t="s">
        <v>102</v>
      </c>
      <c r="CA109" t="s">
        <v>562</v>
      </c>
      <c r="CC109" t="s">
        <v>416</v>
      </c>
      <c r="CD109">
        <v>2191</v>
      </c>
      <c r="CE109" t="s">
        <v>116</v>
      </c>
      <c r="CF109" s="3">
        <v>45877</v>
      </c>
      <c r="CI109">
        <v>1</v>
      </c>
      <c r="CJ109">
        <v>1</v>
      </c>
      <c r="CK109">
        <v>21</v>
      </c>
      <c r="CL109" t="s">
        <v>90</v>
      </c>
    </row>
    <row r="110" spans="1:90" x14ac:dyDescent="0.3">
      <c r="A110" t="s">
        <v>72</v>
      </c>
      <c r="B110" t="s">
        <v>73</v>
      </c>
      <c r="C110" t="s">
        <v>74</v>
      </c>
      <c r="E110" t="str">
        <f>"GAB2027721"</f>
        <v>GAB2027721</v>
      </c>
      <c r="F110" s="3">
        <v>45875</v>
      </c>
      <c r="G110">
        <v>202605</v>
      </c>
      <c r="H110" t="s">
        <v>75</v>
      </c>
      <c r="I110" t="s">
        <v>76</v>
      </c>
      <c r="J110" t="s">
        <v>77</v>
      </c>
      <c r="K110" t="s">
        <v>78</v>
      </c>
      <c r="L110" t="s">
        <v>177</v>
      </c>
      <c r="M110" t="s">
        <v>178</v>
      </c>
      <c r="N110" t="s">
        <v>563</v>
      </c>
      <c r="O110" t="s">
        <v>100</v>
      </c>
      <c r="P110" t="str">
        <f>"INV-00038227 035226           "</f>
        <v xml:space="preserve">INV-00038227 035226           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44.73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1</v>
      </c>
      <c r="BI110">
        <v>0.8</v>
      </c>
      <c r="BJ110">
        <v>2</v>
      </c>
      <c r="BK110">
        <v>2</v>
      </c>
      <c r="BL110">
        <v>138.88999999999999</v>
      </c>
      <c r="BM110">
        <v>20.83</v>
      </c>
      <c r="BN110">
        <v>159.72</v>
      </c>
      <c r="BO110">
        <v>159.72</v>
      </c>
      <c r="BQ110" t="s">
        <v>258</v>
      </c>
      <c r="BR110" t="s">
        <v>84</v>
      </c>
      <c r="BS110" s="3">
        <v>45876</v>
      </c>
      <c r="BT110" s="4">
        <v>0.43333333333333335</v>
      </c>
      <c r="BU110" t="s">
        <v>564</v>
      </c>
      <c r="BV110" t="s">
        <v>86</v>
      </c>
      <c r="BY110">
        <v>9854.9</v>
      </c>
      <c r="BZ110" t="s">
        <v>102</v>
      </c>
      <c r="CA110" t="s">
        <v>565</v>
      </c>
      <c r="CC110" t="s">
        <v>178</v>
      </c>
      <c r="CD110">
        <v>1034</v>
      </c>
      <c r="CE110" t="s">
        <v>109</v>
      </c>
      <c r="CF110" s="3">
        <v>45877</v>
      </c>
      <c r="CI110">
        <v>1</v>
      </c>
      <c r="CJ110">
        <v>1</v>
      </c>
      <c r="CK110">
        <v>23</v>
      </c>
      <c r="CL110" t="s">
        <v>90</v>
      </c>
    </row>
    <row r="111" spans="1:90" x14ac:dyDescent="0.3">
      <c r="A111" t="s">
        <v>72</v>
      </c>
      <c r="B111" t="s">
        <v>73</v>
      </c>
      <c r="C111" t="s">
        <v>74</v>
      </c>
      <c r="E111" t="str">
        <f>"GAB2027722"</f>
        <v>GAB2027722</v>
      </c>
      <c r="F111" s="3">
        <v>45875</v>
      </c>
      <c r="G111">
        <v>202605</v>
      </c>
      <c r="H111" t="s">
        <v>75</v>
      </c>
      <c r="I111" t="s">
        <v>76</v>
      </c>
      <c r="J111" t="s">
        <v>77</v>
      </c>
      <c r="K111" t="s">
        <v>78</v>
      </c>
      <c r="L111" t="s">
        <v>190</v>
      </c>
      <c r="M111" t="s">
        <v>191</v>
      </c>
      <c r="N111" t="s">
        <v>257</v>
      </c>
      <c r="O111" t="s">
        <v>100</v>
      </c>
      <c r="P111" t="str">
        <f>"INV-00119932 CT096478         "</f>
        <v xml:space="preserve">INV-00119932 CT096478         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23.09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0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1</v>
      </c>
      <c r="BI111">
        <v>1.3</v>
      </c>
      <c r="BJ111">
        <v>1.7</v>
      </c>
      <c r="BK111">
        <v>2</v>
      </c>
      <c r="BL111">
        <v>71.69</v>
      </c>
      <c r="BM111">
        <v>10.75</v>
      </c>
      <c r="BN111">
        <v>82.44</v>
      </c>
      <c r="BO111">
        <v>82.44</v>
      </c>
      <c r="BQ111" t="s">
        <v>566</v>
      </c>
      <c r="BR111" t="s">
        <v>84</v>
      </c>
      <c r="BS111" s="3">
        <v>45876</v>
      </c>
      <c r="BT111" s="4">
        <v>0.37083333333333335</v>
      </c>
      <c r="BU111" t="s">
        <v>259</v>
      </c>
      <c r="BV111" t="s">
        <v>86</v>
      </c>
      <c r="BY111">
        <v>8567.66</v>
      </c>
      <c r="BZ111" t="s">
        <v>102</v>
      </c>
      <c r="CA111" t="s">
        <v>260</v>
      </c>
      <c r="CC111" t="s">
        <v>191</v>
      </c>
      <c r="CD111" s="5" t="s">
        <v>196</v>
      </c>
      <c r="CE111" t="s">
        <v>265</v>
      </c>
      <c r="CF111" s="3">
        <v>45876</v>
      </c>
      <c r="CI111">
        <v>1</v>
      </c>
      <c r="CJ111">
        <v>1</v>
      </c>
      <c r="CK111">
        <v>21</v>
      </c>
      <c r="CL111" t="s">
        <v>90</v>
      </c>
    </row>
    <row r="112" spans="1:90" x14ac:dyDescent="0.3">
      <c r="A112" t="s">
        <v>72</v>
      </c>
      <c r="B112" t="s">
        <v>73</v>
      </c>
      <c r="C112" t="s">
        <v>74</v>
      </c>
      <c r="E112" t="str">
        <f>"GAB2027724"</f>
        <v>GAB2027724</v>
      </c>
      <c r="F112" s="3">
        <v>45875</v>
      </c>
      <c r="G112">
        <v>202605</v>
      </c>
      <c r="H112" t="s">
        <v>75</v>
      </c>
      <c r="I112" t="s">
        <v>76</v>
      </c>
      <c r="J112" t="s">
        <v>77</v>
      </c>
      <c r="K112" t="s">
        <v>78</v>
      </c>
      <c r="L112" t="s">
        <v>494</v>
      </c>
      <c r="M112" t="s">
        <v>495</v>
      </c>
      <c r="N112" t="s">
        <v>567</v>
      </c>
      <c r="O112" t="s">
        <v>100</v>
      </c>
      <c r="P112" t="str">
        <f>"ATT:ZANDILE                   "</f>
        <v xml:space="preserve">ATT:ZANDILE                   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28.85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0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1</v>
      </c>
      <c r="BI112">
        <v>0.6</v>
      </c>
      <c r="BJ112">
        <v>2.2000000000000002</v>
      </c>
      <c r="BK112">
        <v>2.5</v>
      </c>
      <c r="BL112">
        <v>89.59</v>
      </c>
      <c r="BM112">
        <v>13.44</v>
      </c>
      <c r="BN112">
        <v>103.03</v>
      </c>
      <c r="BO112">
        <v>103.03</v>
      </c>
      <c r="BQ112" t="s">
        <v>568</v>
      </c>
      <c r="BR112" t="s">
        <v>84</v>
      </c>
      <c r="BS112" s="3">
        <v>45877</v>
      </c>
      <c r="BT112" s="4">
        <v>0.41666666666666669</v>
      </c>
      <c r="BU112" t="s">
        <v>569</v>
      </c>
      <c r="BV112" t="s">
        <v>90</v>
      </c>
      <c r="BY112">
        <v>10941.84</v>
      </c>
      <c r="BZ112" t="s">
        <v>102</v>
      </c>
      <c r="CA112" t="s">
        <v>570</v>
      </c>
      <c r="CC112" t="s">
        <v>495</v>
      </c>
      <c r="CD112">
        <v>3201</v>
      </c>
      <c r="CE112" t="s">
        <v>571</v>
      </c>
      <c r="CF112" s="3">
        <v>45880</v>
      </c>
      <c r="CI112">
        <v>1</v>
      </c>
      <c r="CJ112">
        <v>2</v>
      </c>
      <c r="CK112">
        <v>21</v>
      </c>
      <c r="CL112" t="s">
        <v>90</v>
      </c>
    </row>
    <row r="113" spans="1:90" x14ac:dyDescent="0.3">
      <c r="A113" t="s">
        <v>72</v>
      </c>
      <c r="B113" t="s">
        <v>73</v>
      </c>
      <c r="C113" t="s">
        <v>74</v>
      </c>
      <c r="E113" t="str">
        <f>"GAB2027726"</f>
        <v>GAB2027726</v>
      </c>
      <c r="F113" s="3">
        <v>45875</v>
      </c>
      <c r="G113">
        <v>202605</v>
      </c>
      <c r="H113" t="s">
        <v>75</v>
      </c>
      <c r="I113" t="s">
        <v>76</v>
      </c>
      <c r="J113" t="s">
        <v>77</v>
      </c>
      <c r="K113" t="s">
        <v>78</v>
      </c>
      <c r="L113" t="s">
        <v>499</v>
      </c>
      <c r="M113" t="s">
        <v>500</v>
      </c>
      <c r="N113" t="s">
        <v>501</v>
      </c>
      <c r="O113" t="s">
        <v>100</v>
      </c>
      <c r="P113" t="str">
        <f>"IV-00119959 CT096496          "</f>
        <v xml:space="preserve">IV-00119959 CT096496          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28.85</v>
      </c>
      <c r="AR113">
        <v>0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0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1</v>
      </c>
      <c r="BI113">
        <v>1</v>
      </c>
      <c r="BJ113">
        <v>2.4</v>
      </c>
      <c r="BK113">
        <v>2.5</v>
      </c>
      <c r="BL113">
        <v>89.59</v>
      </c>
      <c r="BM113">
        <v>13.44</v>
      </c>
      <c r="BN113">
        <v>103.03</v>
      </c>
      <c r="BO113">
        <v>103.03</v>
      </c>
      <c r="BQ113" t="s">
        <v>572</v>
      </c>
      <c r="BR113" t="s">
        <v>84</v>
      </c>
      <c r="BS113" s="3">
        <v>45877</v>
      </c>
      <c r="BT113" s="4">
        <v>0.42708333333333331</v>
      </c>
      <c r="BU113" t="s">
        <v>536</v>
      </c>
      <c r="BV113" t="s">
        <v>86</v>
      </c>
      <c r="BY113">
        <v>11872.72</v>
      </c>
      <c r="BZ113" t="s">
        <v>102</v>
      </c>
      <c r="CA113" t="s">
        <v>504</v>
      </c>
      <c r="CC113" t="s">
        <v>500</v>
      </c>
      <c r="CD113">
        <v>1200</v>
      </c>
      <c r="CE113" t="s">
        <v>573</v>
      </c>
      <c r="CF113" s="3">
        <v>45877</v>
      </c>
      <c r="CI113">
        <v>2</v>
      </c>
      <c r="CJ113">
        <v>2</v>
      </c>
      <c r="CK113">
        <v>21</v>
      </c>
      <c r="CL113" t="s">
        <v>90</v>
      </c>
    </row>
    <row r="114" spans="1:90" x14ac:dyDescent="0.3">
      <c r="A114" t="s">
        <v>72</v>
      </c>
      <c r="B114" t="s">
        <v>73</v>
      </c>
      <c r="C114" t="s">
        <v>74</v>
      </c>
      <c r="E114" t="str">
        <f>"GAB2027729"</f>
        <v>GAB2027729</v>
      </c>
      <c r="F114" s="3">
        <v>45875</v>
      </c>
      <c r="G114">
        <v>202605</v>
      </c>
      <c r="H114" t="s">
        <v>75</v>
      </c>
      <c r="I114" t="s">
        <v>76</v>
      </c>
      <c r="J114" t="s">
        <v>77</v>
      </c>
      <c r="K114" t="s">
        <v>78</v>
      </c>
      <c r="L114" t="s">
        <v>438</v>
      </c>
      <c r="M114" t="s">
        <v>439</v>
      </c>
      <c r="N114" t="s">
        <v>440</v>
      </c>
      <c r="O114" t="s">
        <v>100</v>
      </c>
      <c r="P114" t="str">
        <f>"INV-00119970 00119948 CT096507"</f>
        <v>INV-00119970 00119948 CT096507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23.09</v>
      </c>
      <c r="AR114">
        <v>0</v>
      </c>
      <c r="AS114">
        <v>0</v>
      </c>
      <c r="AT114">
        <v>0</v>
      </c>
      <c r="AU114">
        <v>0</v>
      </c>
      <c r="AV114">
        <v>0</v>
      </c>
      <c r="AW114">
        <v>16.739999999999998</v>
      </c>
      <c r="AX114">
        <v>0</v>
      </c>
      <c r="AY114">
        <v>0</v>
      </c>
      <c r="AZ114">
        <v>0</v>
      </c>
      <c r="BA114">
        <v>0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1</v>
      </c>
      <c r="BI114">
        <v>1.1000000000000001</v>
      </c>
      <c r="BJ114">
        <v>1.8</v>
      </c>
      <c r="BK114">
        <v>2</v>
      </c>
      <c r="BL114">
        <v>88.43</v>
      </c>
      <c r="BM114">
        <v>13.26</v>
      </c>
      <c r="BN114">
        <v>101.69</v>
      </c>
      <c r="BO114">
        <v>101.69</v>
      </c>
      <c r="BQ114" t="s">
        <v>574</v>
      </c>
      <c r="BR114" t="s">
        <v>84</v>
      </c>
      <c r="BS114" s="3">
        <v>45876</v>
      </c>
      <c r="BT114" s="4">
        <v>0.33680555555555558</v>
      </c>
      <c r="BU114" t="s">
        <v>575</v>
      </c>
      <c r="BV114" t="s">
        <v>86</v>
      </c>
      <c r="BY114">
        <v>9240.52</v>
      </c>
      <c r="BZ114" t="s">
        <v>320</v>
      </c>
      <c r="CA114" t="s">
        <v>576</v>
      </c>
      <c r="CC114" t="s">
        <v>439</v>
      </c>
      <c r="CD114">
        <v>1475</v>
      </c>
      <c r="CE114" t="s">
        <v>164</v>
      </c>
      <c r="CF114" s="3">
        <v>45876</v>
      </c>
      <c r="CI114">
        <v>1</v>
      </c>
      <c r="CJ114">
        <v>1</v>
      </c>
      <c r="CK114">
        <v>21</v>
      </c>
      <c r="CL114" t="s">
        <v>90</v>
      </c>
    </row>
    <row r="115" spans="1:90" x14ac:dyDescent="0.3">
      <c r="A115" t="s">
        <v>72</v>
      </c>
      <c r="B115" t="s">
        <v>73</v>
      </c>
      <c r="C115" t="s">
        <v>74</v>
      </c>
      <c r="E115" t="str">
        <f>"GAB2027730"</f>
        <v>GAB2027730</v>
      </c>
      <c r="F115" s="3">
        <v>45875</v>
      </c>
      <c r="G115">
        <v>202605</v>
      </c>
      <c r="H115" t="s">
        <v>75</v>
      </c>
      <c r="I115" t="s">
        <v>76</v>
      </c>
      <c r="J115" t="s">
        <v>257</v>
      </c>
      <c r="K115" t="s">
        <v>78</v>
      </c>
      <c r="L115" t="s">
        <v>75</v>
      </c>
      <c r="M115" t="s">
        <v>76</v>
      </c>
      <c r="N115" t="s">
        <v>577</v>
      </c>
      <c r="O115" t="s">
        <v>100</v>
      </c>
      <c r="P115" t="str">
        <f>"INV-00119963 CT096505         "</f>
        <v xml:space="preserve">INV-00119963 CT096505         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18.03</v>
      </c>
      <c r="AR115">
        <v>0</v>
      </c>
      <c r="AS115">
        <v>0</v>
      </c>
      <c r="AT115">
        <v>0</v>
      </c>
      <c r="AU115">
        <v>0</v>
      </c>
      <c r="AV115">
        <v>0</v>
      </c>
      <c r="AW115">
        <v>0</v>
      </c>
      <c r="AX115">
        <v>0</v>
      </c>
      <c r="AY115">
        <v>0</v>
      </c>
      <c r="AZ115">
        <v>0</v>
      </c>
      <c r="BA115">
        <v>0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1</v>
      </c>
      <c r="BI115">
        <v>0.9</v>
      </c>
      <c r="BJ115">
        <v>2.6</v>
      </c>
      <c r="BK115">
        <v>3</v>
      </c>
      <c r="BL115">
        <v>55.99</v>
      </c>
      <c r="BM115">
        <v>8.4</v>
      </c>
      <c r="BN115">
        <v>64.39</v>
      </c>
      <c r="BO115">
        <v>64.39</v>
      </c>
      <c r="BQ115" t="s">
        <v>244</v>
      </c>
      <c r="BR115" t="s">
        <v>491</v>
      </c>
      <c r="BS115" s="3">
        <v>45876</v>
      </c>
      <c r="BT115" s="4">
        <v>0.43125000000000002</v>
      </c>
      <c r="BU115" t="s">
        <v>466</v>
      </c>
      <c r="BV115" t="s">
        <v>86</v>
      </c>
      <c r="BY115">
        <v>12820.5</v>
      </c>
      <c r="BZ115" t="s">
        <v>530</v>
      </c>
      <c r="CA115" t="s">
        <v>424</v>
      </c>
      <c r="CC115" t="s">
        <v>76</v>
      </c>
      <c r="CD115">
        <v>7800</v>
      </c>
      <c r="CE115" t="s">
        <v>544</v>
      </c>
      <c r="CF115" s="3">
        <v>45877</v>
      </c>
      <c r="CI115">
        <v>1</v>
      </c>
      <c r="CJ115">
        <v>1</v>
      </c>
      <c r="CK115">
        <v>22</v>
      </c>
      <c r="CL115" t="s">
        <v>90</v>
      </c>
    </row>
    <row r="116" spans="1:90" x14ac:dyDescent="0.3">
      <c r="A116" t="s">
        <v>72</v>
      </c>
      <c r="B116" t="s">
        <v>73</v>
      </c>
      <c r="C116" t="s">
        <v>74</v>
      </c>
      <c r="E116" t="str">
        <f>"GAB2027731"</f>
        <v>GAB2027731</v>
      </c>
      <c r="F116" s="3">
        <v>45875</v>
      </c>
      <c r="G116">
        <v>202605</v>
      </c>
      <c r="H116" t="s">
        <v>75</v>
      </c>
      <c r="I116" t="s">
        <v>76</v>
      </c>
      <c r="J116" t="s">
        <v>257</v>
      </c>
      <c r="K116" t="s">
        <v>78</v>
      </c>
      <c r="L116" t="s">
        <v>75</v>
      </c>
      <c r="M116" t="s">
        <v>76</v>
      </c>
      <c r="N116" t="s">
        <v>224</v>
      </c>
      <c r="O116" t="s">
        <v>100</v>
      </c>
      <c r="P116" t="str">
        <f>"INV-00119965 CT096501         "</f>
        <v xml:space="preserve">INV-00119965 CT096501         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18.03</v>
      </c>
      <c r="AR116">
        <v>0</v>
      </c>
      <c r="AS116">
        <v>0</v>
      </c>
      <c r="AT116">
        <v>0</v>
      </c>
      <c r="AU116">
        <v>0</v>
      </c>
      <c r="AV116">
        <v>0</v>
      </c>
      <c r="AW116">
        <v>0</v>
      </c>
      <c r="AX116">
        <v>0</v>
      </c>
      <c r="AY116">
        <v>0</v>
      </c>
      <c r="AZ116">
        <v>0</v>
      </c>
      <c r="BA116">
        <v>0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1</v>
      </c>
      <c r="BI116">
        <v>0.8</v>
      </c>
      <c r="BJ116">
        <v>2.2000000000000002</v>
      </c>
      <c r="BK116">
        <v>3</v>
      </c>
      <c r="BL116">
        <v>55.99</v>
      </c>
      <c r="BM116">
        <v>8.4</v>
      </c>
      <c r="BN116">
        <v>64.39</v>
      </c>
      <c r="BO116">
        <v>64.39</v>
      </c>
      <c r="BQ116" t="s">
        <v>225</v>
      </c>
      <c r="BR116" t="s">
        <v>491</v>
      </c>
      <c r="BS116" s="3">
        <v>45876</v>
      </c>
      <c r="BT116" s="4">
        <v>0.49513888888888891</v>
      </c>
      <c r="BU116" t="s">
        <v>578</v>
      </c>
      <c r="BV116" t="s">
        <v>86</v>
      </c>
      <c r="BY116">
        <v>11042.04</v>
      </c>
      <c r="BZ116" t="s">
        <v>530</v>
      </c>
      <c r="CA116" t="s">
        <v>424</v>
      </c>
      <c r="CC116" t="s">
        <v>76</v>
      </c>
      <c r="CD116">
        <v>7806</v>
      </c>
      <c r="CE116" t="s">
        <v>143</v>
      </c>
      <c r="CF116" s="3">
        <v>45877</v>
      </c>
      <c r="CI116">
        <v>1</v>
      </c>
      <c r="CJ116">
        <v>1</v>
      </c>
      <c r="CK116">
        <v>22</v>
      </c>
      <c r="CL116" t="s">
        <v>90</v>
      </c>
    </row>
    <row r="117" spans="1:90" x14ac:dyDescent="0.3">
      <c r="A117" t="s">
        <v>72</v>
      </c>
      <c r="B117" t="s">
        <v>73</v>
      </c>
      <c r="C117" t="s">
        <v>74</v>
      </c>
      <c r="E117" t="str">
        <f>"GAB2027732"</f>
        <v>GAB2027732</v>
      </c>
      <c r="F117" s="3">
        <v>45875</v>
      </c>
      <c r="G117">
        <v>202605</v>
      </c>
      <c r="H117" t="s">
        <v>75</v>
      </c>
      <c r="I117" t="s">
        <v>76</v>
      </c>
      <c r="J117" t="s">
        <v>257</v>
      </c>
      <c r="K117" t="s">
        <v>78</v>
      </c>
      <c r="L117" t="s">
        <v>579</v>
      </c>
      <c r="M117" t="s">
        <v>580</v>
      </c>
      <c r="N117" t="s">
        <v>581</v>
      </c>
      <c r="O117" t="s">
        <v>100</v>
      </c>
      <c r="P117" t="str">
        <f>"INV-00119967 CT096503         "</f>
        <v xml:space="preserve">INV-00119967 CT096503         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64.92</v>
      </c>
      <c r="AR117">
        <v>0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0</v>
      </c>
      <c r="AY117">
        <v>0</v>
      </c>
      <c r="AZ117">
        <v>0</v>
      </c>
      <c r="BA117">
        <v>0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1</v>
      </c>
      <c r="BI117">
        <v>0.9</v>
      </c>
      <c r="BJ117">
        <v>2.9</v>
      </c>
      <c r="BK117">
        <v>3</v>
      </c>
      <c r="BL117">
        <v>201.6</v>
      </c>
      <c r="BM117">
        <v>30.24</v>
      </c>
      <c r="BN117">
        <v>231.84</v>
      </c>
      <c r="BO117">
        <v>231.84</v>
      </c>
      <c r="BR117" t="s">
        <v>491</v>
      </c>
      <c r="BS117" s="3">
        <v>45880</v>
      </c>
      <c r="BT117" s="4">
        <v>0.53680555555555554</v>
      </c>
      <c r="BU117" t="s">
        <v>582</v>
      </c>
      <c r="BV117" t="s">
        <v>90</v>
      </c>
      <c r="BW117" t="s">
        <v>294</v>
      </c>
      <c r="BX117" t="s">
        <v>412</v>
      </c>
      <c r="BY117">
        <v>14591.4</v>
      </c>
      <c r="BZ117" t="s">
        <v>530</v>
      </c>
      <c r="CA117" t="s">
        <v>583</v>
      </c>
      <c r="CC117" t="s">
        <v>580</v>
      </c>
      <c r="CD117">
        <v>4450</v>
      </c>
      <c r="CE117" t="s">
        <v>104</v>
      </c>
      <c r="CF117" s="3">
        <v>45881</v>
      </c>
      <c r="CI117">
        <v>2</v>
      </c>
      <c r="CJ117">
        <v>3</v>
      </c>
      <c r="CK117">
        <v>23</v>
      </c>
      <c r="CL117" t="s">
        <v>90</v>
      </c>
    </row>
    <row r="118" spans="1:90" x14ac:dyDescent="0.3">
      <c r="A118" t="s">
        <v>72</v>
      </c>
      <c r="B118" t="s">
        <v>73</v>
      </c>
      <c r="C118" t="s">
        <v>74</v>
      </c>
      <c r="E118" t="str">
        <f>"GAB2027733"</f>
        <v>GAB2027733</v>
      </c>
      <c r="F118" s="3">
        <v>45875</v>
      </c>
      <c r="G118">
        <v>202605</v>
      </c>
      <c r="H118" t="s">
        <v>75</v>
      </c>
      <c r="I118" t="s">
        <v>76</v>
      </c>
      <c r="J118" t="s">
        <v>77</v>
      </c>
      <c r="K118" t="s">
        <v>78</v>
      </c>
      <c r="L118" t="s">
        <v>132</v>
      </c>
      <c r="M118" t="s">
        <v>133</v>
      </c>
      <c r="N118" t="s">
        <v>134</v>
      </c>
      <c r="O118" t="s">
        <v>100</v>
      </c>
      <c r="P118" t="str">
        <f>"INV-00119968 CT096504         "</f>
        <v xml:space="preserve">INV-00119968 CT096504         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44.73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0</v>
      </c>
      <c r="AY118">
        <v>0</v>
      </c>
      <c r="AZ118">
        <v>0</v>
      </c>
      <c r="BA118">
        <v>0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1</v>
      </c>
      <c r="BI118">
        <v>1.2</v>
      </c>
      <c r="BJ118">
        <v>1.8</v>
      </c>
      <c r="BK118">
        <v>2</v>
      </c>
      <c r="BL118">
        <v>138.88999999999999</v>
      </c>
      <c r="BM118">
        <v>20.83</v>
      </c>
      <c r="BN118">
        <v>159.72</v>
      </c>
      <c r="BO118">
        <v>159.72</v>
      </c>
      <c r="BQ118" t="s">
        <v>135</v>
      </c>
      <c r="BR118" t="s">
        <v>84</v>
      </c>
      <c r="BS118" s="3">
        <v>45876</v>
      </c>
      <c r="BT118" s="4">
        <v>0.58958333333333335</v>
      </c>
      <c r="BU118" t="s">
        <v>136</v>
      </c>
      <c r="BV118" t="s">
        <v>86</v>
      </c>
      <c r="BY118">
        <v>8803.08</v>
      </c>
      <c r="BZ118" t="s">
        <v>102</v>
      </c>
      <c r="CC118" t="s">
        <v>133</v>
      </c>
      <c r="CD118">
        <v>3100</v>
      </c>
      <c r="CE118" t="s">
        <v>265</v>
      </c>
      <c r="CF118" s="3">
        <v>45877</v>
      </c>
      <c r="CI118">
        <v>2</v>
      </c>
      <c r="CJ118">
        <v>1</v>
      </c>
      <c r="CK118">
        <v>23</v>
      </c>
      <c r="CL118" t="s">
        <v>90</v>
      </c>
    </row>
    <row r="119" spans="1:90" x14ac:dyDescent="0.3">
      <c r="A119" t="s">
        <v>72</v>
      </c>
      <c r="B119" t="s">
        <v>73</v>
      </c>
      <c r="C119" t="s">
        <v>74</v>
      </c>
      <c r="E119" t="str">
        <f>"GAB2027734"</f>
        <v>GAB2027734</v>
      </c>
      <c r="F119" s="3">
        <v>45875</v>
      </c>
      <c r="G119">
        <v>202605</v>
      </c>
      <c r="H119" t="s">
        <v>75</v>
      </c>
      <c r="I119" t="s">
        <v>76</v>
      </c>
      <c r="J119" t="s">
        <v>77</v>
      </c>
      <c r="K119" t="s">
        <v>78</v>
      </c>
      <c r="L119" t="s">
        <v>159</v>
      </c>
      <c r="M119" t="s">
        <v>159</v>
      </c>
      <c r="N119" t="s">
        <v>584</v>
      </c>
      <c r="O119" t="s">
        <v>100</v>
      </c>
      <c r="P119" t="str">
        <f>"INV-00119969 CT096506         "</f>
        <v xml:space="preserve">INV-00119969 CT096506         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40.369999999999997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0</v>
      </c>
      <c r="AX119">
        <v>0</v>
      </c>
      <c r="AY119">
        <v>0</v>
      </c>
      <c r="AZ119">
        <v>0</v>
      </c>
      <c r="BA119">
        <v>0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1</v>
      </c>
      <c r="BI119">
        <v>0.8</v>
      </c>
      <c r="BJ119">
        <v>2.5</v>
      </c>
      <c r="BK119">
        <v>2.5</v>
      </c>
      <c r="BL119">
        <v>125.36</v>
      </c>
      <c r="BM119">
        <v>18.8</v>
      </c>
      <c r="BN119">
        <v>144.16</v>
      </c>
      <c r="BO119">
        <v>144.16</v>
      </c>
      <c r="BR119" t="s">
        <v>84</v>
      </c>
      <c r="BS119" s="3">
        <v>45876</v>
      </c>
      <c r="BT119" s="4">
        <v>0.53333333333333333</v>
      </c>
      <c r="BU119" t="s">
        <v>585</v>
      </c>
      <c r="BV119" t="s">
        <v>86</v>
      </c>
      <c r="BY119">
        <v>12647.25</v>
      </c>
      <c r="BZ119" t="s">
        <v>102</v>
      </c>
      <c r="CA119" t="s">
        <v>586</v>
      </c>
      <c r="CC119" t="s">
        <v>159</v>
      </c>
      <c r="CD119">
        <v>7646</v>
      </c>
      <c r="CE119" t="s">
        <v>109</v>
      </c>
      <c r="CF119" s="3">
        <v>45877</v>
      </c>
      <c r="CI119">
        <v>1</v>
      </c>
      <c r="CJ119">
        <v>1</v>
      </c>
      <c r="CK119">
        <v>24</v>
      </c>
      <c r="CL119" t="s">
        <v>90</v>
      </c>
    </row>
    <row r="120" spans="1:90" x14ac:dyDescent="0.3">
      <c r="A120" t="s">
        <v>72</v>
      </c>
      <c r="B120" t="s">
        <v>73</v>
      </c>
      <c r="C120" t="s">
        <v>74</v>
      </c>
      <c r="E120" t="str">
        <f>"GAB2027735"</f>
        <v>GAB2027735</v>
      </c>
      <c r="F120" s="3">
        <v>45875</v>
      </c>
      <c r="G120">
        <v>202605</v>
      </c>
      <c r="H120" t="s">
        <v>75</v>
      </c>
      <c r="I120" t="s">
        <v>76</v>
      </c>
      <c r="J120" t="s">
        <v>257</v>
      </c>
      <c r="K120" t="s">
        <v>78</v>
      </c>
      <c r="L120" t="s">
        <v>159</v>
      </c>
      <c r="M120" t="s">
        <v>159</v>
      </c>
      <c r="N120" t="s">
        <v>587</v>
      </c>
      <c r="O120" t="s">
        <v>100</v>
      </c>
      <c r="P120" t="str">
        <f>"INV-00119972 CT096508         "</f>
        <v xml:space="preserve">INV-00119972 CT096508         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40.369999999999997</v>
      </c>
      <c r="AR120">
        <v>0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0</v>
      </c>
      <c r="AY120">
        <v>0</v>
      </c>
      <c r="AZ120">
        <v>0</v>
      </c>
      <c r="BA120">
        <v>0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1</v>
      </c>
      <c r="BI120">
        <v>0.8</v>
      </c>
      <c r="BJ120">
        <v>2.1</v>
      </c>
      <c r="BK120">
        <v>2.5</v>
      </c>
      <c r="BL120">
        <v>125.36</v>
      </c>
      <c r="BM120">
        <v>18.8</v>
      </c>
      <c r="BN120">
        <v>144.16</v>
      </c>
      <c r="BO120">
        <v>144.16</v>
      </c>
      <c r="BQ120" t="s">
        <v>161</v>
      </c>
      <c r="BR120" t="s">
        <v>491</v>
      </c>
      <c r="BS120" s="3">
        <v>45877</v>
      </c>
      <c r="BT120" s="4">
        <v>0.75</v>
      </c>
      <c r="BU120" t="s">
        <v>588</v>
      </c>
      <c r="BV120" t="s">
        <v>90</v>
      </c>
      <c r="BW120" t="s">
        <v>589</v>
      </c>
      <c r="BX120" t="s">
        <v>157</v>
      </c>
      <c r="BY120">
        <v>10650.5</v>
      </c>
      <c r="BZ120" t="s">
        <v>530</v>
      </c>
      <c r="CC120" t="s">
        <v>159</v>
      </c>
      <c r="CD120">
        <v>7646</v>
      </c>
      <c r="CE120" t="s">
        <v>143</v>
      </c>
      <c r="CF120" s="3">
        <v>45881</v>
      </c>
      <c r="CI120">
        <v>0</v>
      </c>
      <c r="CJ120">
        <v>0</v>
      </c>
      <c r="CK120">
        <v>24</v>
      </c>
      <c r="CL120" t="s">
        <v>90</v>
      </c>
    </row>
    <row r="121" spans="1:90" x14ac:dyDescent="0.3">
      <c r="A121" t="s">
        <v>72</v>
      </c>
      <c r="B121" t="s">
        <v>73</v>
      </c>
      <c r="C121" t="s">
        <v>74</v>
      </c>
      <c r="E121" t="str">
        <f>"GAB2027741"</f>
        <v>GAB2027741</v>
      </c>
      <c r="F121" s="3">
        <v>45875</v>
      </c>
      <c r="G121">
        <v>202605</v>
      </c>
      <c r="H121" t="s">
        <v>75</v>
      </c>
      <c r="I121" t="s">
        <v>76</v>
      </c>
      <c r="J121" t="s">
        <v>77</v>
      </c>
      <c r="K121" t="s">
        <v>78</v>
      </c>
      <c r="L121" t="s">
        <v>518</v>
      </c>
      <c r="M121" t="s">
        <v>519</v>
      </c>
      <c r="N121" t="s">
        <v>590</v>
      </c>
      <c r="O121" t="s">
        <v>100</v>
      </c>
      <c r="P121" t="str">
        <f>"INV-00119978 CT096395         "</f>
        <v xml:space="preserve">INV-00119978 CT096395         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23.09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0</v>
      </c>
      <c r="AY121">
        <v>0</v>
      </c>
      <c r="AZ121">
        <v>0</v>
      </c>
      <c r="BA121">
        <v>0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1</v>
      </c>
      <c r="BI121">
        <v>1.1000000000000001</v>
      </c>
      <c r="BJ121">
        <v>1.7</v>
      </c>
      <c r="BK121">
        <v>2</v>
      </c>
      <c r="BL121">
        <v>71.69</v>
      </c>
      <c r="BM121">
        <v>10.75</v>
      </c>
      <c r="BN121">
        <v>82.44</v>
      </c>
      <c r="BO121">
        <v>82.44</v>
      </c>
      <c r="BR121" t="s">
        <v>84</v>
      </c>
      <c r="BS121" s="3">
        <v>45876</v>
      </c>
      <c r="BT121" s="4">
        <v>0.50347222222222221</v>
      </c>
      <c r="BU121" t="s">
        <v>591</v>
      </c>
      <c r="BV121" t="s">
        <v>90</v>
      </c>
      <c r="BY121">
        <v>8419.4599999999991</v>
      </c>
      <c r="BZ121" t="s">
        <v>102</v>
      </c>
      <c r="CA121" t="s">
        <v>522</v>
      </c>
      <c r="CC121" t="s">
        <v>519</v>
      </c>
      <c r="CD121">
        <v>5200</v>
      </c>
      <c r="CE121" t="s">
        <v>164</v>
      </c>
      <c r="CF121" s="3">
        <v>45876</v>
      </c>
      <c r="CI121">
        <v>1</v>
      </c>
      <c r="CJ121">
        <v>1</v>
      </c>
      <c r="CK121">
        <v>21</v>
      </c>
      <c r="CL121" t="s">
        <v>90</v>
      </c>
    </row>
    <row r="122" spans="1:90" x14ac:dyDescent="0.3">
      <c r="A122" t="s">
        <v>72</v>
      </c>
      <c r="B122" t="s">
        <v>73</v>
      </c>
      <c r="C122" t="s">
        <v>74</v>
      </c>
      <c r="E122" t="str">
        <f>"009942952184"</f>
        <v>009942952184</v>
      </c>
      <c r="F122" s="3">
        <v>45875</v>
      </c>
      <c r="G122">
        <v>202605</v>
      </c>
      <c r="H122" t="s">
        <v>91</v>
      </c>
      <c r="I122" t="s">
        <v>92</v>
      </c>
      <c r="J122" t="s">
        <v>592</v>
      </c>
      <c r="K122" t="s">
        <v>78</v>
      </c>
      <c r="L122" t="s">
        <v>190</v>
      </c>
      <c r="M122" t="s">
        <v>191</v>
      </c>
      <c r="N122" t="s">
        <v>257</v>
      </c>
      <c r="O122" t="s">
        <v>100</v>
      </c>
      <c r="P122" t="str">
        <f>"LEVENE                        "</f>
        <v xml:space="preserve">LEVENE                        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46.15</v>
      </c>
      <c r="AR122">
        <v>0</v>
      </c>
      <c r="AS122">
        <v>0</v>
      </c>
      <c r="AT122">
        <v>0</v>
      </c>
      <c r="AU122">
        <v>0</v>
      </c>
      <c r="AV122">
        <v>0</v>
      </c>
      <c r="AW122">
        <v>0</v>
      </c>
      <c r="AX122">
        <v>0</v>
      </c>
      <c r="AY122">
        <v>0</v>
      </c>
      <c r="AZ122">
        <v>0</v>
      </c>
      <c r="BA122">
        <v>0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1</v>
      </c>
      <c r="BI122">
        <v>2</v>
      </c>
      <c r="BJ122">
        <v>3.6</v>
      </c>
      <c r="BK122">
        <v>4</v>
      </c>
      <c r="BL122">
        <v>143.31</v>
      </c>
      <c r="BM122">
        <v>21.5</v>
      </c>
      <c r="BN122">
        <v>164.81</v>
      </c>
      <c r="BO122">
        <v>164.81</v>
      </c>
      <c r="BQ122" t="s">
        <v>593</v>
      </c>
      <c r="BR122" t="s">
        <v>594</v>
      </c>
      <c r="BS122" s="3">
        <v>45877</v>
      </c>
      <c r="BT122" s="4">
        <v>0.41875000000000001</v>
      </c>
      <c r="BU122" t="s">
        <v>259</v>
      </c>
      <c r="BV122" t="s">
        <v>90</v>
      </c>
      <c r="BW122" t="s">
        <v>589</v>
      </c>
      <c r="BX122" t="s">
        <v>595</v>
      </c>
      <c r="BY122">
        <v>18000</v>
      </c>
      <c r="BZ122" t="s">
        <v>102</v>
      </c>
      <c r="CA122" t="s">
        <v>146</v>
      </c>
      <c r="CC122" t="s">
        <v>191</v>
      </c>
      <c r="CD122" s="5" t="s">
        <v>196</v>
      </c>
      <c r="CE122" t="s">
        <v>352</v>
      </c>
      <c r="CF122" s="3">
        <v>45877</v>
      </c>
      <c r="CI122">
        <v>1</v>
      </c>
      <c r="CJ122">
        <v>2</v>
      </c>
      <c r="CK122">
        <v>21</v>
      </c>
      <c r="CL122" t="s">
        <v>90</v>
      </c>
    </row>
    <row r="123" spans="1:90" x14ac:dyDescent="0.3">
      <c r="A123" t="s">
        <v>72</v>
      </c>
      <c r="B123" t="s">
        <v>73</v>
      </c>
      <c r="C123" t="s">
        <v>74</v>
      </c>
      <c r="E123" t="str">
        <f>"009942952185"</f>
        <v>009942952185</v>
      </c>
      <c r="F123" s="3">
        <v>45875</v>
      </c>
      <c r="G123">
        <v>202605</v>
      </c>
      <c r="H123" t="s">
        <v>91</v>
      </c>
      <c r="I123" t="s">
        <v>92</v>
      </c>
      <c r="J123" t="s">
        <v>592</v>
      </c>
      <c r="K123" t="s">
        <v>78</v>
      </c>
      <c r="L123" t="s">
        <v>75</v>
      </c>
      <c r="M123" t="s">
        <v>76</v>
      </c>
      <c r="N123" t="s">
        <v>257</v>
      </c>
      <c r="O123" t="s">
        <v>100</v>
      </c>
      <c r="P123" t="str">
        <f>"LEVENE                        "</f>
        <v xml:space="preserve">LEVENE                        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23.09</v>
      </c>
      <c r="AR123">
        <v>0</v>
      </c>
      <c r="AS123">
        <v>0</v>
      </c>
      <c r="AT123">
        <v>0</v>
      </c>
      <c r="AU123">
        <v>0</v>
      </c>
      <c r="AV123">
        <v>0</v>
      </c>
      <c r="AW123">
        <v>0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1</v>
      </c>
      <c r="BI123">
        <v>1</v>
      </c>
      <c r="BJ123">
        <v>1.2</v>
      </c>
      <c r="BK123">
        <v>1.5</v>
      </c>
      <c r="BL123">
        <v>71.69</v>
      </c>
      <c r="BM123">
        <v>10.75</v>
      </c>
      <c r="BN123">
        <v>82.44</v>
      </c>
      <c r="BO123">
        <v>82.44</v>
      </c>
      <c r="BQ123" t="s">
        <v>596</v>
      </c>
      <c r="BR123" t="s">
        <v>594</v>
      </c>
      <c r="BS123" s="3">
        <v>45877</v>
      </c>
      <c r="BT123" s="4">
        <v>0.42916666666666664</v>
      </c>
      <c r="BU123" t="s">
        <v>349</v>
      </c>
      <c r="BV123" t="s">
        <v>86</v>
      </c>
      <c r="BY123">
        <v>6000</v>
      </c>
      <c r="BZ123" t="s">
        <v>102</v>
      </c>
      <c r="CA123" t="s">
        <v>351</v>
      </c>
      <c r="CC123" t="s">
        <v>76</v>
      </c>
      <c r="CD123">
        <v>7460</v>
      </c>
      <c r="CE123" t="s">
        <v>352</v>
      </c>
      <c r="CF123" s="3">
        <v>45880</v>
      </c>
      <c r="CI123">
        <v>2</v>
      </c>
      <c r="CJ123">
        <v>2</v>
      </c>
      <c r="CK123">
        <v>21</v>
      </c>
      <c r="CL123" t="s">
        <v>90</v>
      </c>
    </row>
    <row r="124" spans="1:90" x14ac:dyDescent="0.3">
      <c r="A124" t="s">
        <v>72</v>
      </c>
      <c r="B124" t="s">
        <v>73</v>
      </c>
      <c r="C124" t="s">
        <v>74</v>
      </c>
      <c r="E124" t="str">
        <f>"009945156771"</f>
        <v>009945156771</v>
      </c>
      <c r="F124" s="3">
        <v>45876</v>
      </c>
      <c r="G124">
        <v>202605</v>
      </c>
      <c r="H124" t="s">
        <v>79</v>
      </c>
      <c r="I124" t="s">
        <v>80</v>
      </c>
      <c r="J124" t="s">
        <v>257</v>
      </c>
      <c r="K124" t="s">
        <v>78</v>
      </c>
      <c r="L124" t="s">
        <v>345</v>
      </c>
      <c r="M124" t="s">
        <v>346</v>
      </c>
      <c r="N124" t="s">
        <v>257</v>
      </c>
      <c r="O124" t="s">
        <v>100</v>
      </c>
      <c r="P124" t="str">
        <f>"NO REF                        "</f>
        <v xml:space="preserve">NO REF                        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23.09</v>
      </c>
      <c r="AR124">
        <v>0</v>
      </c>
      <c r="AS124">
        <v>0</v>
      </c>
      <c r="AT124">
        <v>0</v>
      </c>
      <c r="AU124">
        <v>0</v>
      </c>
      <c r="AV124">
        <v>0</v>
      </c>
      <c r="AW124">
        <v>0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1</v>
      </c>
      <c r="BI124">
        <v>1</v>
      </c>
      <c r="BJ124">
        <v>0.2</v>
      </c>
      <c r="BK124">
        <v>1</v>
      </c>
      <c r="BL124">
        <v>71.69</v>
      </c>
      <c r="BM124">
        <v>10.75</v>
      </c>
      <c r="BN124">
        <v>82.44</v>
      </c>
      <c r="BO124">
        <v>82.44</v>
      </c>
      <c r="BQ124" t="s">
        <v>597</v>
      </c>
      <c r="BR124" t="s">
        <v>598</v>
      </c>
      <c r="BS124" s="3">
        <v>45877</v>
      </c>
      <c r="BT124" s="4">
        <v>0.46875</v>
      </c>
      <c r="BU124" t="s">
        <v>599</v>
      </c>
      <c r="BV124" t="s">
        <v>90</v>
      </c>
      <c r="BW124" t="s">
        <v>589</v>
      </c>
      <c r="BX124" t="s">
        <v>600</v>
      </c>
      <c r="BY124">
        <v>1200</v>
      </c>
      <c r="BZ124" t="s">
        <v>102</v>
      </c>
      <c r="CC124" t="s">
        <v>346</v>
      </c>
      <c r="CD124">
        <v>9300</v>
      </c>
      <c r="CE124" t="s">
        <v>355</v>
      </c>
      <c r="CF124" s="3">
        <v>45880</v>
      </c>
      <c r="CI124">
        <v>1</v>
      </c>
      <c r="CJ124">
        <v>1</v>
      </c>
      <c r="CK124">
        <v>21</v>
      </c>
      <c r="CL124" t="s">
        <v>90</v>
      </c>
    </row>
    <row r="125" spans="1:90" x14ac:dyDescent="0.3">
      <c r="A125" t="s">
        <v>72</v>
      </c>
      <c r="B125" t="s">
        <v>73</v>
      </c>
      <c r="C125" t="s">
        <v>74</v>
      </c>
      <c r="E125" t="str">
        <f>"009945156773"</f>
        <v>009945156773</v>
      </c>
      <c r="F125" s="3">
        <v>45876</v>
      </c>
      <c r="G125">
        <v>202605</v>
      </c>
      <c r="H125" t="s">
        <v>79</v>
      </c>
      <c r="I125" t="s">
        <v>80</v>
      </c>
      <c r="J125" t="s">
        <v>257</v>
      </c>
      <c r="K125" t="s">
        <v>78</v>
      </c>
      <c r="L125" t="s">
        <v>91</v>
      </c>
      <c r="M125" t="s">
        <v>92</v>
      </c>
      <c r="N125" t="s">
        <v>601</v>
      </c>
      <c r="O125" t="s">
        <v>82</v>
      </c>
      <c r="P125" t="str">
        <f>"NO REF                        "</f>
        <v xml:space="preserve">NO REF                        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5.87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87.03</v>
      </c>
      <c r="AR125">
        <v>0</v>
      </c>
      <c r="AS125">
        <v>0</v>
      </c>
      <c r="AT125">
        <v>0</v>
      </c>
      <c r="AU125">
        <v>0</v>
      </c>
      <c r="AV125">
        <v>0</v>
      </c>
      <c r="AW125">
        <v>0</v>
      </c>
      <c r="AX125">
        <v>0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7</v>
      </c>
      <c r="BI125">
        <v>12.3</v>
      </c>
      <c r="BJ125">
        <v>37.9</v>
      </c>
      <c r="BK125">
        <v>38</v>
      </c>
      <c r="BL125">
        <v>276.12</v>
      </c>
      <c r="BM125">
        <v>41.42</v>
      </c>
      <c r="BN125">
        <v>317.54000000000002</v>
      </c>
      <c r="BO125">
        <v>317.54000000000002</v>
      </c>
      <c r="BQ125" t="s">
        <v>602</v>
      </c>
      <c r="BR125" t="s">
        <v>603</v>
      </c>
      <c r="BS125" s="3">
        <v>45881</v>
      </c>
      <c r="BT125" s="4">
        <v>0.35347222222222224</v>
      </c>
      <c r="BU125" t="s">
        <v>604</v>
      </c>
      <c r="BV125" t="s">
        <v>90</v>
      </c>
      <c r="BW125" t="s">
        <v>605</v>
      </c>
      <c r="BX125" t="s">
        <v>319</v>
      </c>
      <c r="BY125">
        <v>51600</v>
      </c>
      <c r="BZ125" t="s">
        <v>606</v>
      </c>
      <c r="CC125" t="s">
        <v>92</v>
      </c>
      <c r="CD125">
        <v>4000</v>
      </c>
      <c r="CE125" t="s">
        <v>355</v>
      </c>
      <c r="CF125" s="3">
        <v>45882</v>
      </c>
      <c r="CI125">
        <v>1</v>
      </c>
      <c r="CJ125">
        <v>3</v>
      </c>
      <c r="CK125">
        <v>41</v>
      </c>
      <c r="CL125" t="s">
        <v>90</v>
      </c>
    </row>
    <row r="126" spans="1:90" x14ac:dyDescent="0.3">
      <c r="A126" t="s">
        <v>72</v>
      </c>
      <c r="B126" t="s">
        <v>73</v>
      </c>
      <c r="C126" t="s">
        <v>74</v>
      </c>
      <c r="E126" t="str">
        <f>"009945156772"</f>
        <v>009945156772</v>
      </c>
      <c r="F126" s="3">
        <v>45876</v>
      </c>
      <c r="G126">
        <v>202605</v>
      </c>
      <c r="H126" t="s">
        <v>79</v>
      </c>
      <c r="I126" t="s">
        <v>80</v>
      </c>
      <c r="J126" t="s">
        <v>257</v>
      </c>
      <c r="K126" t="s">
        <v>78</v>
      </c>
      <c r="L126" t="s">
        <v>75</v>
      </c>
      <c r="M126" t="s">
        <v>76</v>
      </c>
      <c r="N126" t="s">
        <v>607</v>
      </c>
      <c r="O126" t="s">
        <v>100</v>
      </c>
      <c r="P126" t="str">
        <f>"NO REF                        "</f>
        <v xml:space="preserve">NO REF                        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23.09</v>
      </c>
      <c r="AR126">
        <v>0</v>
      </c>
      <c r="AS126">
        <v>0</v>
      </c>
      <c r="AT126">
        <v>0</v>
      </c>
      <c r="AU126">
        <v>0</v>
      </c>
      <c r="AV126">
        <v>0</v>
      </c>
      <c r="AW126">
        <v>0</v>
      </c>
      <c r="AX126">
        <v>0</v>
      </c>
      <c r="AY126">
        <v>0</v>
      </c>
      <c r="AZ126">
        <v>0</v>
      </c>
      <c r="BA126">
        <v>0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1</v>
      </c>
      <c r="BI126">
        <v>1</v>
      </c>
      <c r="BJ126">
        <v>0.2</v>
      </c>
      <c r="BK126">
        <v>1</v>
      </c>
      <c r="BL126">
        <v>71.69</v>
      </c>
      <c r="BM126">
        <v>10.75</v>
      </c>
      <c r="BN126">
        <v>82.44</v>
      </c>
      <c r="BO126">
        <v>82.44</v>
      </c>
      <c r="BQ126" t="s">
        <v>347</v>
      </c>
      <c r="BR126" t="s">
        <v>608</v>
      </c>
      <c r="BS126" s="3">
        <v>45877</v>
      </c>
      <c r="BT126" s="4">
        <v>0.42916666666666664</v>
      </c>
      <c r="BU126" t="s">
        <v>349</v>
      </c>
      <c r="BV126" t="s">
        <v>86</v>
      </c>
      <c r="BY126">
        <v>1200</v>
      </c>
      <c r="BZ126" t="s">
        <v>102</v>
      </c>
      <c r="CA126" t="s">
        <v>351</v>
      </c>
      <c r="CC126" t="s">
        <v>76</v>
      </c>
      <c r="CD126">
        <v>7460</v>
      </c>
      <c r="CE126" t="s">
        <v>355</v>
      </c>
      <c r="CF126" s="3">
        <v>45880</v>
      </c>
      <c r="CI126">
        <v>1</v>
      </c>
      <c r="CJ126">
        <v>1</v>
      </c>
      <c r="CK126">
        <v>21</v>
      </c>
      <c r="CL126" t="s">
        <v>90</v>
      </c>
    </row>
    <row r="127" spans="1:90" x14ac:dyDescent="0.3">
      <c r="A127" t="s">
        <v>72</v>
      </c>
      <c r="B127" t="s">
        <v>73</v>
      </c>
      <c r="C127" t="s">
        <v>74</v>
      </c>
      <c r="E127" t="str">
        <f>"GAB2027713"</f>
        <v>GAB2027713</v>
      </c>
      <c r="F127" s="3">
        <v>45875</v>
      </c>
      <c r="G127">
        <v>202605</v>
      </c>
      <c r="H127" t="s">
        <v>75</v>
      </c>
      <c r="I127" t="s">
        <v>76</v>
      </c>
      <c r="J127" t="s">
        <v>77</v>
      </c>
      <c r="K127" t="s">
        <v>78</v>
      </c>
      <c r="L127" t="s">
        <v>208</v>
      </c>
      <c r="M127" t="s">
        <v>209</v>
      </c>
      <c r="N127" t="s">
        <v>210</v>
      </c>
      <c r="O127" t="s">
        <v>100</v>
      </c>
      <c r="P127" t="str">
        <f>"INV-00119945 CT096494         "</f>
        <v xml:space="preserve">INV-00119945 CT096494         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44.73</v>
      </c>
      <c r="AR127">
        <v>0</v>
      </c>
      <c r="AS127">
        <v>0</v>
      </c>
      <c r="AT127">
        <v>0</v>
      </c>
      <c r="AU127">
        <v>0</v>
      </c>
      <c r="AV127">
        <v>0</v>
      </c>
      <c r="AW127">
        <v>0</v>
      </c>
      <c r="AX127">
        <v>0</v>
      </c>
      <c r="AY127">
        <v>0</v>
      </c>
      <c r="AZ127">
        <v>0</v>
      </c>
      <c r="BA127">
        <v>0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1</v>
      </c>
      <c r="BI127">
        <v>0.8</v>
      </c>
      <c r="BJ127">
        <v>1.7</v>
      </c>
      <c r="BK127">
        <v>2</v>
      </c>
      <c r="BL127">
        <v>138.88999999999999</v>
      </c>
      <c r="BM127">
        <v>20.83</v>
      </c>
      <c r="BN127">
        <v>159.72</v>
      </c>
      <c r="BO127">
        <v>159.72</v>
      </c>
      <c r="BQ127" t="s">
        <v>609</v>
      </c>
      <c r="BR127" t="s">
        <v>84</v>
      </c>
      <c r="BS127" s="3">
        <v>45876</v>
      </c>
      <c r="BT127" s="4">
        <v>0.42222222222222222</v>
      </c>
      <c r="BU127" t="s">
        <v>610</v>
      </c>
      <c r="BV127" t="s">
        <v>86</v>
      </c>
      <c r="BY127">
        <v>8602</v>
      </c>
      <c r="BZ127" t="s">
        <v>102</v>
      </c>
      <c r="CA127" t="s">
        <v>611</v>
      </c>
      <c r="CC127" t="s">
        <v>209</v>
      </c>
      <c r="CD127">
        <v>9459</v>
      </c>
      <c r="CE127" t="s">
        <v>612</v>
      </c>
      <c r="CF127" s="3">
        <v>45876</v>
      </c>
      <c r="CI127">
        <v>2</v>
      </c>
      <c r="CJ127">
        <v>1</v>
      </c>
      <c r="CK127">
        <v>23</v>
      </c>
      <c r="CL127" t="s">
        <v>90</v>
      </c>
    </row>
    <row r="128" spans="1:90" x14ac:dyDescent="0.3">
      <c r="A128" t="s">
        <v>72</v>
      </c>
      <c r="B128" t="s">
        <v>73</v>
      </c>
      <c r="C128" t="s">
        <v>74</v>
      </c>
      <c r="E128" t="str">
        <f>"080011589306"</f>
        <v>080011589306</v>
      </c>
      <c r="F128" s="3">
        <v>45876</v>
      </c>
      <c r="G128">
        <v>202605</v>
      </c>
      <c r="H128" t="s">
        <v>438</v>
      </c>
      <c r="I128" t="s">
        <v>439</v>
      </c>
      <c r="J128" t="s">
        <v>613</v>
      </c>
      <c r="K128" t="s">
        <v>78</v>
      </c>
      <c r="L128" t="s">
        <v>75</v>
      </c>
      <c r="M128" t="s">
        <v>76</v>
      </c>
      <c r="N128" t="s">
        <v>257</v>
      </c>
      <c r="O128" t="s">
        <v>82</v>
      </c>
      <c r="P128" t="str">
        <f>"Hester                        "</f>
        <v xml:space="preserve">Hester                        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5.87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44.64</v>
      </c>
      <c r="AR128">
        <v>0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0</v>
      </c>
      <c r="AY128">
        <v>0</v>
      </c>
      <c r="AZ128">
        <v>0</v>
      </c>
      <c r="BA128">
        <v>0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1</v>
      </c>
      <c r="BI128">
        <v>2</v>
      </c>
      <c r="BJ128">
        <v>0.4</v>
      </c>
      <c r="BK128">
        <v>2</v>
      </c>
      <c r="BL128">
        <v>144.49</v>
      </c>
      <c r="BM128">
        <v>21.67</v>
      </c>
      <c r="BN128">
        <v>166.16</v>
      </c>
      <c r="BO128">
        <v>166.16</v>
      </c>
      <c r="BP128" t="s">
        <v>176</v>
      </c>
      <c r="BQ128" t="s">
        <v>614</v>
      </c>
      <c r="BR128" t="s">
        <v>615</v>
      </c>
      <c r="BS128" s="3">
        <v>45880</v>
      </c>
      <c r="BT128" s="4">
        <v>0.52569444444444446</v>
      </c>
      <c r="BU128" t="s">
        <v>349</v>
      </c>
      <c r="BV128" t="s">
        <v>86</v>
      </c>
      <c r="BY128">
        <v>1848</v>
      </c>
      <c r="BZ128" t="s">
        <v>606</v>
      </c>
      <c r="CA128" t="s">
        <v>351</v>
      </c>
      <c r="CC128" t="s">
        <v>76</v>
      </c>
      <c r="CD128">
        <v>7460</v>
      </c>
      <c r="CE128" t="s">
        <v>616</v>
      </c>
      <c r="CF128" s="3">
        <v>45881</v>
      </c>
      <c r="CI128">
        <v>3</v>
      </c>
      <c r="CJ128">
        <v>2</v>
      </c>
      <c r="CK128">
        <v>41</v>
      </c>
      <c r="CL128" t="s">
        <v>90</v>
      </c>
    </row>
    <row r="129" spans="1:90" x14ac:dyDescent="0.3">
      <c r="A129" t="s">
        <v>72</v>
      </c>
      <c r="B129" t="s">
        <v>73</v>
      </c>
      <c r="C129" t="s">
        <v>74</v>
      </c>
      <c r="E129" t="str">
        <f>"GAB2027756"</f>
        <v>GAB2027756</v>
      </c>
      <c r="F129" s="3">
        <v>45876</v>
      </c>
      <c r="G129">
        <v>202605</v>
      </c>
      <c r="H129" t="s">
        <v>75</v>
      </c>
      <c r="I129" t="s">
        <v>76</v>
      </c>
      <c r="J129" t="s">
        <v>77</v>
      </c>
      <c r="K129" t="s">
        <v>78</v>
      </c>
      <c r="L129" t="s">
        <v>617</v>
      </c>
      <c r="M129" t="s">
        <v>618</v>
      </c>
      <c r="N129" t="s">
        <v>619</v>
      </c>
      <c r="O129" t="s">
        <v>82</v>
      </c>
      <c r="P129" t="str">
        <f>"INV-00119990 CT096369         "</f>
        <v xml:space="preserve">INV-00119990 CT096369         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5.87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153</v>
      </c>
      <c r="AR129">
        <v>0</v>
      </c>
      <c r="AS129">
        <v>0</v>
      </c>
      <c r="AT129">
        <v>0</v>
      </c>
      <c r="AU129">
        <v>0</v>
      </c>
      <c r="AV129">
        <v>0</v>
      </c>
      <c r="AW129">
        <v>0</v>
      </c>
      <c r="AX129">
        <v>0</v>
      </c>
      <c r="AY129">
        <v>0</v>
      </c>
      <c r="AZ129">
        <v>0</v>
      </c>
      <c r="BA129">
        <v>0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3</v>
      </c>
      <c r="BI129">
        <v>20.2</v>
      </c>
      <c r="BJ129">
        <v>42.1</v>
      </c>
      <c r="BK129">
        <v>43</v>
      </c>
      <c r="BL129">
        <v>480.98</v>
      </c>
      <c r="BM129">
        <v>72.150000000000006</v>
      </c>
      <c r="BN129">
        <v>553.13</v>
      </c>
      <c r="BO129">
        <v>553.13</v>
      </c>
      <c r="BQ129" t="s">
        <v>620</v>
      </c>
      <c r="BR129" t="s">
        <v>84</v>
      </c>
      <c r="BS129" s="3">
        <v>45880</v>
      </c>
      <c r="BT129" s="4">
        <v>0.4513888888888889</v>
      </c>
      <c r="BU129" t="s">
        <v>621</v>
      </c>
      <c r="BV129" t="s">
        <v>86</v>
      </c>
      <c r="BY129">
        <v>210319.7</v>
      </c>
      <c r="CA129" t="s">
        <v>622</v>
      </c>
      <c r="CC129" t="s">
        <v>618</v>
      </c>
      <c r="CD129">
        <v>1947</v>
      </c>
      <c r="CE129" t="s">
        <v>171</v>
      </c>
      <c r="CF129" s="3">
        <v>45880</v>
      </c>
      <c r="CI129">
        <v>2</v>
      </c>
      <c r="CJ129">
        <v>2</v>
      </c>
      <c r="CK129">
        <v>43</v>
      </c>
      <c r="CL129" t="s">
        <v>90</v>
      </c>
    </row>
    <row r="130" spans="1:90" x14ac:dyDescent="0.3">
      <c r="A130" t="s">
        <v>72</v>
      </c>
      <c r="B130" t="s">
        <v>73</v>
      </c>
      <c r="C130" t="s">
        <v>74</v>
      </c>
      <c r="E130" t="str">
        <f>"GAB2027757"</f>
        <v>GAB2027757</v>
      </c>
      <c r="F130" s="3">
        <v>45876</v>
      </c>
      <c r="G130">
        <v>202605</v>
      </c>
      <c r="H130" t="s">
        <v>75</v>
      </c>
      <c r="I130" t="s">
        <v>76</v>
      </c>
      <c r="J130" t="s">
        <v>77</v>
      </c>
      <c r="K130" t="s">
        <v>78</v>
      </c>
      <c r="L130" t="s">
        <v>190</v>
      </c>
      <c r="M130" t="s">
        <v>191</v>
      </c>
      <c r="N130" t="s">
        <v>257</v>
      </c>
      <c r="O130" t="s">
        <v>82</v>
      </c>
      <c r="P130" t="str">
        <f>"INV-00119996 CT096328         "</f>
        <v xml:space="preserve">INV-00119996 CT096328         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5.87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44.64</v>
      </c>
      <c r="AR130">
        <v>0</v>
      </c>
      <c r="AS130">
        <v>0</v>
      </c>
      <c r="AT130">
        <v>0</v>
      </c>
      <c r="AU130">
        <v>0</v>
      </c>
      <c r="AV130">
        <v>0</v>
      </c>
      <c r="AW130">
        <v>0</v>
      </c>
      <c r="AX130">
        <v>0</v>
      </c>
      <c r="AY130">
        <v>0</v>
      </c>
      <c r="AZ130">
        <v>0</v>
      </c>
      <c r="BA130">
        <v>0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1</v>
      </c>
      <c r="BI130">
        <v>5.7</v>
      </c>
      <c r="BJ130">
        <v>13.2</v>
      </c>
      <c r="BK130">
        <v>14</v>
      </c>
      <c r="BL130">
        <v>144.49</v>
      </c>
      <c r="BM130">
        <v>21.67</v>
      </c>
      <c r="BN130">
        <v>166.16</v>
      </c>
      <c r="BO130">
        <v>166.16</v>
      </c>
      <c r="BQ130" t="s">
        <v>593</v>
      </c>
      <c r="BR130" t="s">
        <v>84</v>
      </c>
      <c r="BS130" s="3">
        <v>45880</v>
      </c>
      <c r="BT130" s="4">
        <v>0.34444444444444444</v>
      </c>
      <c r="BU130" t="s">
        <v>623</v>
      </c>
      <c r="BV130" t="s">
        <v>86</v>
      </c>
      <c r="BY130">
        <v>66140.05</v>
      </c>
      <c r="CA130" t="s">
        <v>260</v>
      </c>
      <c r="CC130" t="s">
        <v>191</v>
      </c>
      <c r="CD130" s="5" t="s">
        <v>196</v>
      </c>
      <c r="CE130" t="s">
        <v>624</v>
      </c>
      <c r="CF130" s="3">
        <v>45880</v>
      </c>
      <c r="CI130">
        <v>3</v>
      </c>
      <c r="CJ130">
        <v>2</v>
      </c>
      <c r="CK130">
        <v>41</v>
      </c>
      <c r="CL130" t="s">
        <v>90</v>
      </c>
    </row>
    <row r="131" spans="1:90" x14ac:dyDescent="0.3">
      <c r="A131" t="s">
        <v>72</v>
      </c>
      <c r="B131" t="s">
        <v>73</v>
      </c>
      <c r="C131" t="s">
        <v>74</v>
      </c>
      <c r="E131" t="str">
        <f>"GAB2027758"</f>
        <v>GAB2027758</v>
      </c>
      <c r="F131" s="3">
        <v>45876</v>
      </c>
      <c r="G131">
        <v>202605</v>
      </c>
      <c r="H131" t="s">
        <v>75</v>
      </c>
      <c r="I131" t="s">
        <v>76</v>
      </c>
      <c r="J131" t="s">
        <v>77</v>
      </c>
      <c r="K131" t="s">
        <v>78</v>
      </c>
      <c r="L131" t="s">
        <v>506</v>
      </c>
      <c r="M131" t="s">
        <v>507</v>
      </c>
      <c r="N131" t="s">
        <v>625</v>
      </c>
      <c r="O131" t="s">
        <v>82</v>
      </c>
      <c r="P131" t="str">
        <f>"INV-00119987 00119988. CT09651"</f>
        <v>INV-00119987 00119988. CT09651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5.87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62.96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0</v>
      </c>
      <c r="AX131">
        <v>0</v>
      </c>
      <c r="AY131">
        <v>0</v>
      </c>
      <c r="AZ131">
        <v>0</v>
      </c>
      <c r="BA131">
        <v>0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1</v>
      </c>
      <c r="BI131">
        <v>1.6</v>
      </c>
      <c r="BJ131">
        <v>2.8</v>
      </c>
      <c r="BK131">
        <v>3</v>
      </c>
      <c r="BL131">
        <v>201.38</v>
      </c>
      <c r="BM131">
        <v>30.21</v>
      </c>
      <c r="BN131">
        <v>231.59</v>
      </c>
      <c r="BO131">
        <v>231.59</v>
      </c>
      <c r="BQ131" t="s">
        <v>626</v>
      </c>
      <c r="BR131" t="s">
        <v>84</v>
      </c>
      <c r="BS131" s="3">
        <v>45880</v>
      </c>
      <c r="BT131" s="4">
        <v>0.49305555555555558</v>
      </c>
      <c r="BU131" t="s">
        <v>627</v>
      </c>
      <c r="BV131" t="s">
        <v>86</v>
      </c>
      <c r="BY131">
        <v>13769</v>
      </c>
      <c r="CA131" t="s">
        <v>628</v>
      </c>
      <c r="CC131" t="s">
        <v>507</v>
      </c>
      <c r="CD131">
        <v>1982</v>
      </c>
      <c r="CE131" t="s">
        <v>171</v>
      </c>
      <c r="CF131" s="3">
        <v>45880</v>
      </c>
      <c r="CI131">
        <v>2</v>
      </c>
      <c r="CJ131">
        <v>2</v>
      </c>
      <c r="CK131">
        <v>43</v>
      </c>
      <c r="CL131" t="s">
        <v>90</v>
      </c>
    </row>
    <row r="132" spans="1:90" x14ac:dyDescent="0.3">
      <c r="A132" t="s">
        <v>72</v>
      </c>
      <c r="B132" t="s">
        <v>73</v>
      </c>
      <c r="C132" t="s">
        <v>74</v>
      </c>
      <c r="E132" t="str">
        <f>"GAB2027759"</f>
        <v>GAB2027759</v>
      </c>
      <c r="F132" s="3">
        <v>45876</v>
      </c>
      <c r="G132">
        <v>202605</v>
      </c>
      <c r="H132" t="s">
        <v>75</v>
      </c>
      <c r="I132" t="s">
        <v>76</v>
      </c>
      <c r="J132" t="s">
        <v>77</v>
      </c>
      <c r="K132" t="s">
        <v>78</v>
      </c>
      <c r="L132" t="s">
        <v>494</v>
      </c>
      <c r="M132" t="s">
        <v>495</v>
      </c>
      <c r="N132" t="s">
        <v>567</v>
      </c>
      <c r="O132" t="s">
        <v>82</v>
      </c>
      <c r="P132" t="str">
        <f>"INV-000406 00395              "</f>
        <v xml:space="preserve">INV-000406 00395              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5.87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44.64</v>
      </c>
      <c r="AR132">
        <v>0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0</v>
      </c>
      <c r="AY132">
        <v>0</v>
      </c>
      <c r="AZ132">
        <v>0</v>
      </c>
      <c r="BA132">
        <v>0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1</v>
      </c>
      <c r="BI132">
        <v>4.9000000000000004</v>
      </c>
      <c r="BJ132">
        <v>9</v>
      </c>
      <c r="BK132">
        <v>9</v>
      </c>
      <c r="BL132">
        <v>144.49</v>
      </c>
      <c r="BM132">
        <v>21.67</v>
      </c>
      <c r="BN132">
        <v>166.16</v>
      </c>
      <c r="BO132">
        <v>166.16</v>
      </c>
      <c r="BQ132" t="s">
        <v>629</v>
      </c>
      <c r="BR132" t="s">
        <v>84</v>
      </c>
      <c r="BS132" s="3">
        <v>45880</v>
      </c>
      <c r="BT132" s="4">
        <v>0.43055555555555558</v>
      </c>
      <c r="BU132" t="s">
        <v>630</v>
      </c>
      <c r="BV132" t="s">
        <v>86</v>
      </c>
      <c r="BY132">
        <v>44877.3</v>
      </c>
      <c r="CA132" t="s">
        <v>570</v>
      </c>
      <c r="CC132" t="s">
        <v>495</v>
      </c>
      <c r="CD132">
        <v>3201</v>
      </c>
      <c r="CE132" t="s">
        <v>89</v>
      </c>
      <c r="CF132" s="3">
        <v>45881</v>
      </c>
      <c r="CI132">
        <v>4</v>
      </c>
      <c r="CJ132">
        <v>2</v>
      </c>
      <c r="CK132">
        <v>41</v>
      </c>
      <c r="CL132" t="s">
        <v>90</v>
      </c>
    </row>
    <row r="133" spans="1:90" x14ac:dyDescent="0.3">
      <c r="A133" t="s">
        <v>72</v>
      </c>
      <c r="B133" t="s">
        <v>73</v>
      </c>
      <c r="C133" t="s">
        <v>74</v>
      </c>
      <c r="E133" t="str">
        <f>"GAB2027761"</f>
        <v>GAB2027761</v>
      </c>
      <c r="F133" s="3">
        <v>45876</v>
      </c>
      <c r="G133">
        <v>202605</v>
      </c>
      <c r="H133" t="s">
        <v>75</v>
      </c>
      <c r="I133" t="s">
        <v>76</v>
      </c>
      <c r="J133" t="s">
        <v>77</v>
      </c>
      <c r="K133" t="s">
        <v>78</v>
      </c>
      <c r="L133" t="s">
        <v>79</v>
      </c>
      <c r="M133" t="s">
        <v>80</v>
      </c>
      <c r="N133" t="s">
        <v>631</v>
      </c>
      <c r="O133" t="s">
        <v>82</v>
      </c>
      <c r="P133" t="str">
        <f>"INV-00120005 CT096207         "</f>
        <v xml:space="preserve">INV-00120005 CT096207         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5.87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171.81</v>
      </c>
      <c r="AR133">
        <v>0</v>
      </c>
      <c r="AS133">
        <v>0</v>
      </c>
      <c r="AT133">
        <v>0</v>
      </c>
      <c r="AU133">
        <v>0</v>
      </c>
      <c r="AV133">
        <v>0</v>
      </c>
      <c r="AW133">
        <v>0</v>
      </c>
      <c r="AX133">
        <v>0</v>
      </c>
      <c r="AY133">
        <v>0</v>
      </c>
      <c r="AZ133">
        <v>0</v>
      </c>
      <c r="BA133">
        <v>0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2</v>
      </c>
      <c r="BI133">
        <v>45.4</v>
      </c>
      <c r="BJ133">
        <v>83.7</v>
      </c>
      <c r="BK133">
        <v>84</v>
      </c>
      <c r="BL133">
        <v>539.38</v>
      </c>
      <c r="BM133">
        <v>80.91</v>
      </c>
      <c r="BN133">
        <v>620.29</v>
      </c>
      <c r="BO133">
        <v>620.29</v>
      </c>
      <c r="BQ133" t="s">
        <v>632</v>
      </c>
      <c r="BR133" t="s">
        <v>84</v>
      </c>
      <c r="BS133" s="3">
        <v>45881</v>
      </c>
      <c r="BT133" s="4">
        <v>0.47847222222222224</v>
      </c>
      <c r="BU133" t="s">
        <v>633</v>
      </c>
      <c r="BV133" t="s">
        <v>86</v>
      </c>
      <c r="BY133">
        <v>418364.19</v>
      </c>
      <c r="CA133" t="s">
        <v>634</v>
      </c>
      <c r="CC133" t="s">
        <v>80</v>
      </c>
      <c r="CD133" s="5" t="s">
        <v>237</v>
      </c>
      <c r="CE133" t="s">
        <v>89</v>
      </c>
      <c r="CF133" s="3">
        <v>45881</v>
      </c>
      <c r="CI133">
        <v>3</v>
      </c>
      <c r="CJ133">
        <v>3</v>
      </c>
      <c r="CK133">
        <v>41</v>
      </c>
      <c r="CL133" t="s">
        <v>90</v>
      </c>
    </row>
    <row r="134" spans="1:90" x14ac:dyDescent="0.3">
      <c r="A134" t="s">
        <v>72</v>
      </c>
      <c r="B134" t="s">
        <v>73</v>
      </c>
      <c r="C134" t="s">
        <v>74</v>
      </c>
      <c r="E134" t="str">
        <f>"GAB2027762"</f>
        <v>GAB2027762</v>
      </c>
      <c r="F134" s="3">
        <v>45876</v>
      </c>
      <c r="G134">
        <v>202605</v>
      </c>
      <c r="H134" t="s">
        <v>75</v>
      </c>
      <c r="I134" t="s">
        <v>76</v>
      </c>
      <c r="J134" t="s">
        <v>77</v>
      </c>
      <c r="K134" t="s">
        <v>78</v>
      </c>
      <c r="L134" t="s">
        <v>79</v>
      </c>
      <c r="M134" t="s">
        <v>80</v>
      </c>
      <c r="N134" t="s">
        <v>635</v>
      </c>
      <c r="O134" t="s">
        <v>82</v>
      </c>
      <c r="P134" t="str">
        <f>"INV-00120004 CT096520         "</f>
        <v xml:space="preserve">INV-00120004 CT096520         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5.87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44.64</v>
      </c>
      <c r="AR134">
        <v>0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0</v>
      </c>
      <c r="AY134">
        <v>0</v>
      </c>
      <c r="AZ134">
        <v>0</v>
      </c>
      <c r="BA134">
        <v>0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1</v>
      </c>
      <c r="BI134">
        <v>1</v>
      </c>
      <c r="BJ134">
        <v>2.2999999999999998</v>
      </c>
      <c r="BK134">
        <v>3</v>
      </c>
      <c r="BL134">
        <v>144.49</v>
      </c>
      <c r="BM134">
        <v>21.67</v>
      </c>
      <c r="BN134">
        <v>166.16</v>
      </c>
      <c r="BO134">
        <v>166.16</v>
      </c>
      <c r="BQ134" t="s">
        <v>636</v>
      </c>
      <c r="BR134" t="s">
        <v>84</v>
      </c>
      <c r="BS134" s="3">
        <v>45881</v>
      </c>
      <c r="BT134" s="4">
        <v>0.66180555555555554</v>
      </c>
      <c r="BU134" t="s">
        <v>637</v>
      </c>
      <c r="BV134" t="s">
        <v>86</v>
      </c>
      <c r="BY134">
        <v>11659.62</v>
      </c>
      <c r="CA134" t="s">
        <v>638</v>
      </c>
      <c r="CC134" t="s">
        <v>80</v>
      </c>
      <c r="CD134" s="5" t="s">
        <v>639</v>
      </c>
      <c r="CE134" t="s">
        <v>640</v>
      </c>
      <c r="CF134" s="3">
        <v>45882</v>
      </c>
      <c r="CI134">
        <v>3</v>
      </c>
      <c r="CJ134">
        <v>3</v>
      </c>
      <c r="CK134">
        <v>41</v>
      </c>
      <c r="CL134" t="s">
        <v>90</v>
      </c>
    </row>
    <row r="135" spans="1:90" x14ac:dyDescent="0.3">
      <c r="A135" t="s">
        <v>72</v>
      </c>
      <c r="B135" t="s">
        <v>73</v>
      </c>
      <c r="C135" t="s">
        <v>74</v>
      </c>
      <c r="E135" t="str">
        <f>"GAB2027763"</f>
        <v>GAB2027763</v>
      </c>
      <c r="F135" s="3">
        <v>45876</v>
      </c>
      <c r="G135">
        <v>202605</v>
      </c>
      <c r="H135" t="s">
        <v>75</v>
      </c>
      <c r="I135" t="s">
        <v>76</v>
      </c>
      <c r="J135" t="s">
        <v>77</v>
      </c>
      <c r="K135" t="s">
        <v>78</v>
      </c>
      <c r="L135" t="s">
        <v>75</v>
      </c>
      <c r="M135" t="s">
        <v>76</v>
      </c>
      <c r="N135" t="s">
        <v>641</v>
      </c>
      <c r="O135" t="s">
        <v>82</v>
      </c>
      <c r="P135" t="str">
        <f>"INV-00120003 CT096522         "</f>
        <v xml:space="preserve">INV-00120003 CT096522         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5.87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34.450000000000003</v>
      </c>
      <c r="AR135">
        <v>0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0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1</v>
      </c>
      <c r="BI135">
        <v>2</v>
      </c>
      <c r="BJ135">
        <v>7.3</v>
      </c>
      <c r="BK135">
        <v>8</v>
      </c>
      <c r="BL135">
        <v>112.84</v>
      </c>
      <c r="BM135">
        <v>16.93</v>
      </c>
      <c r="BN135">
        <v>129.77000000000001</v>
      </c>
      <c r="BO135">
        <v>129.77000000000001</v>
      </c>
      <c r="BQ135" t="s">
        <v>642</v>
      </c>
      <c r="BR135" t="s">
        <v>84</v>
      </c>
      <c r="BS135" s="3">
        <v>45877</v>
      </c>
      <c r="BT135" s="4">
        <v>0.40069444444444446</v>
      </c>
      <c r="BU135" t="s">
        <v>643</v>
      </c>
      <c r="BV135" t="s">
        <v>86</v>
      </c>
      <c r="BY135">
        <v>36263.699999999997</v>
      </c>
      <c r="CA135" t="s">
        <v>644</v>
      </c>
      <c r="CC135" t="s">
        <v>76</v>
      </c>
      <c r="CD135">
        <v>7579</v>
      </c>
      <c r="CE135" t="s">
        <v>89</v>
      </c>
      <c r="CF135" s="3">
        <v>45880</v>
      </c>
      <c r="CI135">
        <v>1</v>
      </c>
      <c r="CJ135">
        <v>1</v>
      </c>
      <c r="CK135">
        <v>42</v>
      </c>
      <c r="CL135" t="s">
        <v>90</v>
      </c>
    </row>
    <row r="136" spans="1:90" x14ac:dyDescent="0.3">
      <c r="A136" t="s">
        <v>72</v>
      </c>
      <c r="B136" t="s">
        <v>73</v>
      </c>
      <c r="C136" t="s">
        <v>74</v>
      </c>
      <c r="E136" t="str">
        <f>"GAB2027764"</f>
        <v>GAB2027764</v>
      </c>
      <c r="F136" s="3">
        <v>45876</v>
      </c>
      <c r="G136">
        <v>202605</v>
      </c>
      <c r="H136" t="s">
        <v>75</v>
      </c>
      <c r="I136" t="s">
        <v>76</v>
      </c>
      <c r="J136" t="s">
        <v>77</v>
      </c>
      <c r="K136" t="s">
        <v>78</v>
      </c>
      <c r="L136" t="s">
        <v>75</v>
      </c>
      <c r="M136" t="s">
        <v>76</v>
      </c>
      <c r="N136" t="s">
        <v>645</v>
      </c>
      <c r="O136" t="s">
        <v>82</v>
      </c>
      <c r="P136" t="str">
        <f>"INV-00120011 CT096524         "</f>
        <v xml:space="preserve">INV-00120011 CT096524         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5.87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34.450000000000003</v>
      </c>
      <c r="AR136">
        <v>0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1</v>
      </c>
      <c r="BI136">
        <v>0.8</v>
      </c>
      <c r="BJ136">
        <v>2.6</v>
      </c>
      <c r="BK136">
        <v>3</v>
      </c>
      <c r="BL136">
        <v>112.84</v>
      </c>
      <c r="BM136">
        <v>16.93</v>
      </c>
      <c r="BN136">
        <v>129.77000000000001</v>
      </c>
      <c r="BO136">
        <v>129.77000000000001</v>
      </c>
      <c r="BQ136" t="s">
        <v>646</v>
      </c>
      <c r="BR136" t="s">
        <v>84</v>
      </c>
      <c r="BS136" s="3">
        <v>45877</v>
      </c>
      <c r="BT136" s="4">
        <v>0.69444444444444442</v>
      </c>
      <c r="BU136" t="s">
        <v>647</v>
      </c>
      <c r="BV136" t="s">
        <v>86</v>
      </c>
      <c r="BY136">
        <v>12911.5</v>
      </c>
      <c r="CA136" t="s">
        <v>648</v>
      </c>
      <c r="CC136" t="s">
        <v>76</v>
      </c>
      <c r="CD136">
        <v>7800</v>
      </c>
      <c r="CE136" t="s">
        <v>389</v>
      </c>
      <c r="CF136" s="3">
        <v>45880</v>
      </c>
      <c r="CI136">
        <v>1</v>
      </c>
      <c r="CJ136">
        <v>1</v>
      </c>
      <c r="CK136">
        <v>42</v>
      </c>
      <c r="CL136" t="s">
        <v>90</v>
      </c>
    </row>
    <row r="137" spans="1:90" x14ac:dyDescent="0.3">
      <c r="A137" t="s">
        <v>72</v>
      </c>
      <c r="B137" t="s">
        <v>73</v>
      </c>
      <c r="C137" t="s">
        <v>74</v>
      </c>
      <c r="E137" t="str">
        <f>"GAB2027742"</f>
        <v>GAB2027742</v>
      </c>
      <c r="F137" s="3">
        <v>45876</v>
      </c>
      <c r="G137">
        <v>202605</v>
      </c>
      <c r="H137" t="s">
        <v>75</v>
      </c>
      <c r="I137" t="s">
        <v>76</v>
      </c>
      <c r="J137" t="s">
        <v>77</v>
      </c>
      <c r="K137" t="s">
        <v>78</v>
      </c>
      <c r="L137" t="s">
        <v>75</v>
      </c>
      <c r="M137" t="s">
        <v>76</v>
      </c>
      <c r="N137" t="s">
        <v>239</v>
      </c>
      <c r="O137" t="s">
        <v>100</v>
      </c>
      <c r="P137" t="str">
        <f>"INV-00038107 034660           "</f>
        <v xml:space="preserve">INV-00038107 034660           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18.03</v>
      </c>
      <c r="AR137">
        <v>0</v>
      </c>
      <c r="AS137">
        <v>0</v>
      </c>
      <c r="AT137">
        <v>0</v>
      </c>
      <c r="AU137">
        <v>0</v>
      </c>
      <c r="AV137">
        <v>0</v>
      </c>
      <c r="AW137">
        <v>0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1</v>
      </c>
      <c r="BI137">
        <v>0.7</v>
      </c>
      <c r="BJ137">
        <v>2.5</v>
      </c>
      <c r="BK137">
        <v>3</v>
      </c>
      <c r="BL137">
        <v>55.99</v>
      </c>
      <c r="BM137">
        <v>8.4</v>
      </c>
      <c r="BN137">
        <v>64.39</v>
      </c>
      <c r="BO137">
        <v>64.39</v>
      </c>
      <c r="BQ137" t="s">
        <v>649</v>
      </c>
      <c r="BR137" t="s">
        <v>84</v>
      </c>
      <c r="BS137" s="3">
        <v>45877</v>
      </c>
      <c r="BT137" s="4">
        <v>0.48749999999999999</v>
      </c>
      <c r="BU137" t="s">
        <v>650</v>
      </c>
      <c r="BV137" t="s">
        <v>86</v>
      </c>
      <c r="BY137">
        <v>12384</v>
      </c>
      <c r="CA137" t="s">
        <v>651</v>
      </c>
      <c r="CC137" t="s">
        <v>76</v>
      </c>
      <c r="CD137">
        <v>7975</v>
      </c>
      <c r="CE137" t="s">
        <v>109</v>
      </c>
      <c r="CF137" s="3">
        <v>45880</v>
      </c>
      <c r="CI137">
        <v>1</v>
      </c>
      <c r="CJ137">
        <v>1</v>
      </c>
      <c r="CK137">
        <v>22</v>
      </c>
      <c r="CL137" t="s">
        <v>90</v>
      </c>
    </row>
    <row r="138" spans="1:90" x14ac:dyDescent="0.3">
      <c r="A138" t="s">
        <v>72</v>
      </c>
      <c r="B138" t="s">
        <v>73</v>
      </c>
      <c r="C138" t="s">
        <v>74</v>
      </c>
      <c r="E138" t="str">
        <f>"GAB2027743"</f>
        <v>GAB2027743</v>
      </c>
      <c r="F138" s="3">
        <v>45876</v>
      </c>
      <c r="G138">
        <v>202605</v>
      </c>
      <c r="H138" t="s">
        <v>75</v>
      </c>
      <c r="I138" t="s">
        <v>76</v>
      </c>
      <c r="J138" t="s">
        <v>77</v>
      </c>
      <c r="K138" t="s">
        <v>78</v>
      </c>
      <c r="L138" t="s">
        <v>407</v>
      </c>
      <c r="M138" t="s">
        <v>408</v>
      </c>
      <c r="N138" t="s">
        <v>409</v>
      </c>
      <c r="O138" t="s">
        <v>100</v>
      </c>
      <c r="P138" t="str">
        <f>"INV-00119986 CT096513         "</f>
        <v xml:space="preserve">INV-00119986 CT096513         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75.02</v>
      </c>
      <c r="AR138">
        <v>0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0</v>
      </c>
      <c r="AY138">
        <v>0</v>
      </c>
      <c r="AZ138">
        <v>0</v>
      </c>
      <c r="BA138">
        <v>0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1</v>
      </c>
      <c r="BI138">
        <v>0.7</v>
      </c>
      <c r="BJ138">
        <v>3.1</v>
      </c>
      <c r="BK138">
        <v>3.5</v>
      </c>
      <c r="BL138">
        <v>232.96</v>
      </c>
      <c r="BM138">
        <v>34.94</v>
      </c>
      <c r="BN138">
        <v>267.89999999999998</v>
      </c>
      <c r="BO138">
        <v>267.89999999999998</v>
      </c>
      <c r="BQ138" t="s">
        <v>523</v>
      </c>
      <c r="BR138" t="s">
        <v>84</v>
      </c>
      <c r="BS138" s="3">
        <v>45878</v>
      </c>
      <c r="BT138" s="4">
        <v>0.40625</v>
      </c>
      <c r="BU138" t="s">
        <v>652</v>
      </c>
      <c r="BV138" t="s">
        <v>86</v>
      </c>
      <c r="BY138">
        <v>15651.9</v>
      </c>
      <c r="CA138" t="s">
        <v>653</v>
      </c>
      <c r="CC138" t="s">
        <v>408</v>
      </c>
      <c r="CD138">
        <v>4420</v>
      </c>
      <c r="CE138" t="s">
        <v>116</v>
      </c>
      <c r="CF138" s="3">
        <v>45882</v>
      </c>
      <c r="CI138">
        <v>2</v>
      </c>
      <c r="CJ138">
        <v>1</v>
      </c>
      <c r="CK138">
        <v>23</v>
      </c>
      <c r="CL138" t="s">
        <v>90</v>
      </c>
    </row>
    <row r="139" spans="1:90" x14ac:dyDescent="0.3">
      <c r="A139" t="s">
        <v>72</v>
      </c>
      <c r="B139" t="s">
        <v>73</v>
      </c>
      <c r="C139" t="s">
        <v>74</v>
      </c>
      <c r="E139" t="str">
        <f>"GAB2027744"</f>
        <v>GAB2027744</v>
      </c>
      <c r="F139" s="3">
        <v>45876</v>
      </c>
      <c r="G139">
        <v>202605</v>
      </c>
      <c r="H139" t="s">
        <v>75</v>
      </c>
      <c r="I139" t="s">
        <v>76</v>
      </c>
      <c r="J139" t="s">
        <v>77</v>
      </c>
      <c r="K139" t="s">
        <v>78</v>
      </c>
      <c r="L139" t="s">
        <v>499</v>
      </c>
      <c r="M139" t="s">
        <v>500</v>
      </c>
      <c r="N139" t="s">
        <v>654</v>
      </c>
      <c r="O139" t="s">
        <v>100</v>
      </c>
      <c r="P139" t="str">
        <f>"INV-00119985 CT096509         "</f>
        <v xml:space="preserve">INV-00119985 CT096509         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34.619999999999997</v>
      </c>
      <c r="AR139">
        <v>0</v>
      </c>
      <c r="AS139">
        <v>0</v>
      </c>
      <c r="AT139">
        <v>0</v>
      </c>
      <c r="AU139">
        <v>0</v>
      </c>
      <c r="AV139">
        <v>0</v>
      </c>
      <c r="AW139">
        <v>0</v>
      </c>
      <c r="AX139">
        <v>0</v>
      </c>
      <c r="AY139">
        <v>0</v>
      </c>
      <c r="AZ139">
        <v>0</v>
      </c>
      <c r="BA139">
        <v>0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1</v>
      </c>
      <c r="BI139">
        <v>0.9</v>
      </c>
      <c r="BJ139">
        <v>2.8</v>
      </c>
      <c r="BK139">
        <v>3</v>
      </c>
      <c r="BL139">
        <v>107.5</v>
      </c>
      <c r="BM139">
        <v>16.13</v>
      </c>
      <c r="BN139">
        <v>123.63</v>
      </c>
      <c r="BO139">
        <v>123.63</v>
      </c>
      <c r="BQ139" t="s">
        <v>655</v>
      </c>
      <c r="BR139" t="s">
        <v>84</v>
      </c>
      <c r="BS139" s="3">
        <v>45880</v>
      </c>
      <c r="BT139" s="4">
        <v>0.43541666666666667</v>
      </c>
      <c r="BU139" t="s">
        <v>656</v>
      </c>
      <c r="BV139" t="s">
        <v>86</v>
      </c>
      <c r="BY139">
        <v>14074.64</v>
      </c>
      <c r="CA139" t="s">
        <v>504</v>
      </c>
      <c r="CC139" t="s">
        <v>500</v>
      </c>
      <c r="CD139">
        <v>1200</v>
      </c>
      <c r="CE139" t="s">
        <v>471</v>
      </c>
      <c r="CF139" s="3">
        <v>45881</v>
      </c>
      <c r="CI139">
        <v>2</v>
      </c>
      <c r="CJ139">
        <v>2</v>
      </c>
      <c r="CK139">
        <v>21</v>
      </c>
      <c r="CL139" t="s">
        <v>90</v>
      </c>
    </row>
    <row r="140" spans="1:90" x14ac:dyDescent="0.3">
      <c r="A140" t="s">
        <v>72</v>
      </c>
      <c r="B140" t="s">
        <v>73</v>
      </c>
      <c r="C140" t="s">
        <v>74</v>
      </c>
      <c r="E140" t="str">
        <f>"GAB2027745"</f>
        <v>GAB2027745</v>
      </c>
      <c r="F140" s="3">
        <v>45876</v>
      </c>
      <c r="G140">
        <v>202605</v>
      </c>
      <c r="H140" t="s">
        <v>75</v>
      </c>
      <c r="I140" t="s">
        <v>76</v>
      </c>
      <c r="J140" t="s">
        <v>77</v>
      </c>
      <c r="K140" t="s">
        <v>78</v>
      </c>
      <c r="L140" t="s">
        <v>415</v>
      </c>
      <c r="M140" t="s">
        <v>416</v>
      </c>
      <c r="N140" t="s">
        <v>657</v>
      </c>
      <c r="O140" t="s">
        <v>100</v>
      </c>
      <c r="P140" t="str">
        <f>"INV-00119989 CT096515         "</f>
        <v xml:space="preserve">INV-00119989 CT096515         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34.619999999999997</v>
      </c>
      <c r="AR140">
        <v>0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0</v>
      </c>
      <c r="AY140">
        <v>0</v>
      </c>
      <c r="AZ140">
        <v>0</v>
      </c>
      <c r="BA140">
        <v>0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1</v>
      </c>
      <c r="BI140">
        <v>0.9</v>
      </c>
      <c r="BJ140">
        <v>2.6</v>
      </c>
      <c r="BK140">
        <v>3</v>
      </c>
      <c r="BL140">
        <v>107.5</v>
      </c>
      <c r="BM140">
        <v>16.13</v>
      </c>
      <c r="BN140">
        <v>123.63</v>
      </c>
      <c r="BO140">
        <v>123.63</v>
      </c>
      <c r="BQ140" t="s">
        <v>658</v>
      </c>
      <c r="BR140" t="s">
        <v>84</v>
      </c>
      <c r="BS140" s="3">
        <v>45877</v>
      </c>
      <c r="BT140" s="4">
        <v>0.40416666666666667</v>
      </c>
      <c r="BU140" t="s">
        <v>659</v>
      </c>
      <c r="BV140" t="s">
        <v>86</v>
      </c>
      <c r="BY140">
        <v>12968.28</v>
      </c>
      <c r="CA140" t="s">
        <v>660</v>
      </c>
      <c r="CC140" t="s">
        <v>416</v>
      </c>
      <c r="CD140">
        <v>2193</v>
      </c>
      <c r="CE140" t="s">
        <v>544</v>
      </c>
      <c r="CF140" s="3">
        <v>45877</v>
      </c>
      <c r="CI140">
        <v>1</v>
      </c>
      <c r="CJ140">
        <v>1</v>
      </c>
      <c r="CK140">
        <v>21</v>
      </c>
      <c r="CL140" t="s">
        <v>90</v>
      </c>
    </row>
    <row r="141" spans="1:90" x14ac:dyDescent="0.3">
      <c r="A141" t="s">
        <v>72</v>
      </c>
      <c r="B141" t="s">
        <v>73</v>
      </c>
      <c r="C141" t="s">
        <v>74</v>
      </c>
      <c r="E141" t="str">
        <f>"GAB2027746"</f>
        <v>GAB2027746</v>
      </c>
      <c r="F141" s="3">
        <v>45876</v>
      </c>
      <c r="G141">
        <v>202605</v>
      </c>
      <c r="H141" t="s">
        <v>75</v>
      </c>
      <c r="I141" t="s">
        <v>76</v>
      </c>
      <c r="J141" t="s">
        <v>77</v>
      </c>
      <c r="K141" t="s">
        <v>78</v>
      </c>
      <c r="L141" t="s">
        <v>661</v>
      </c>
      <c r="M141" t="s">
        <v>662</v>
      </c>
      <c r="N141" t="s">
        <v>663</v>
      </c>
      <c r="O141" t="s">
        <v>100</v>
      </c>
      <c r="P141" t="str">
        <f>"INV-00038268 035235           "</f>
        <v xml:space="preserve">INV-00038268 035235           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64.92</v>
      </c>
      <c r="AR141">
        <v>0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0</v>
      </c>
      <c r="AY141">
        <v>0</v>
      </c>
      <c r="AZ141">
        <v>0</v>
      </c>
      <c r="BA141">
        <v>0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1</v>
      </c>
      <c r="BI141">
        <v>0.7</v>
      </c>
      <c r="BJ141">
        <v>2.6</v>
      </c>
      <c r="BK141">
        <v>3</v>
      </c>
      <c r="BL141">
        <v>201.6</v>
      </c>
      <c r="BM141">
        <v>30.24</v>
      </c>
      <c r="BN141">
        <v>231.84</v>
      </c>
      <c r="BO141">
        <v>231.84</v>
      </c>
      <c r="BQ141" t="s">
        <v>664</v>
      </c>
      <c r="BR141" t="s">
        <v>84</v>
      </c>
      <c r="BS141" s="3">
        <v>45880</v>
      </c>
      <c r="BT141" s="4">
        <v>0.66527777777777775</v>
      </c>
      <c r="BU141" t="s">
        <v>665</v>
      </c>
      <c r="BV141" t="s">
        <v>86</v>
      </c>
      <c r="BY141">
        <v>12947.76</v>
      </c>
      <c r="CC141" t="s">
        <v>662</v>
      </c>
      <c r="CD141">
        <v>6570</v>
      </c>
      <c r="CE141" t="s">
        <v>116</v>
      </c>
      <c r="CF141" s="3">
        <v>45881</v>
      </c>
      <c r="CI141">
        <v>2</v>
      </c>
      <c r="CJ141">
        <v>2</v>
      </c>
      <c r="CK141">
        <v>23</v>
      </c>
      <c r="CL141" t="s">
        <v>90</v>
      </c>
    </row>
    <row r="142" spans="1:90" x14ac:dyDescent="0.3">
      <c r="A142" t="s">
        <v>72</v>
      </c>
      <c r="B142" t="s">
        <v>73</v>
      </c>
      <c r="C142" t="s">
        <v>74</v>
      </c>
      <c r="E142" t="str">
        <f>"GAB2027747"</f>
        <v>GAB2027747</v>
      </c>
      <c r="F142" s="3">
        <v>45876</v>
      </c>
      <c r="G142">
        <v>202605</v>
      </c>
      <c r="H142" t="s">
        <v>75</v>
      </c>
      <c r="I142" t="s">
        <v>76</v>
      </c>
      <c r="J142" t="s">
        <v>77</v>
      </c>
      <c r="K142" t="s">
        <v>78</v>
      </c>
      <c r="L142" t="s">
        <v>666</v>
      </c>
      <c r="M142" t="s">
        <v>667</v>
      </c>
      <c r="N142" t="s">
        <v>668</v>
      </c>
      <c r="O142" t="s">
        <v>100</v>
      </c>
      <c r="P142" t="str">
        <f>"INV-00038269 035246           "</f>
        <v xml:space="preserve">INV-00038269 035246           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40.380000000000003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0</v>
      </c>
      <c r="AX142">
        <v>0</v>
      </c>
      <c r="AY142">
        <v>0</v>
      </c>
      <c r="AZ142">
        <v>0</v>
      </c>
      <c r="BA142">
        <v>0</v>
      </c>
      <c r="BB142">
        <v>0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1</v>
      </c>
      <c r="BI142">
        <v>0.8</v>
      </c>
      <c r="BJ142">
        <v>3.5</v>
      </c>
      <c r="BK142">
        <v>3.5</v>
      </c>
      <c r="BL142">
        <v>125.4</v>
      </c>
      <c r="BM142">
        <v>18.809999999999999</v>
      </c>
      <c r="BN142">
        <v>144.21</v>
      </c>
      <c r="BO142">
        <v>144.21</v>
      </c>
      <c r="BQ142" t="s">
        <v>669</v>
      </c>
      <c r="BR142" t="s">
        <v>84</v>
      </c>
      <c r="BS142" s="3">
        <v>45877</v>
      </c>
      <c r="BT142" s="4">
        <v>0.38819444444444445</v>
      </c>
      <c r="BU142" t="s">
        <v>670</v>
      </c>
      <c r="BV142" t="s">
        <v>86</v>
      </c>
      <c r="BY142">
        <v>17435.25</v>
      </c>
      <c r="CA142" t="s">
        <v>671</v>
      </c>
      <c r="CC142" t="s">
        <v>667</v>
      </c>
      <c r="CD142">
        <v>2158</v>
      </c>
      <c r="CE142" t="s">
        <v>104</v>
      </c>
      <c r="CF142" s="3">
        <v>45880</v>
      </c>
      <c r="CI142">
        <v>1</v>
      </c>
      <c r="CJ142">
        <v>1</v>
      </c>
      <c r="CK142">
        <v>21</v>
      </c>
      <c r="CL142" t="s">
        <v>90</v>
      </c>
    </row>
    <row r="143" spans="1:90" x14ac:dyDescent="0.3">
      <c r="A143" t="s">
        <v>72</v>
      </c>
      <c r="B143" t="s">
        <v>73</v>
      </c>
      <c r="C143" t="s">
        <v>74</v>
      </c>
      <c r="E143" t="str">
        <f>"GAB2027748"</f>
        <v>GAB2027748</v>
      </c>
      <c r="F143" s="3">
        <v>45876</v>
      </c>
      <c r="G143">
        <v>202605</v>
      </c>
      <c r="H143" t="s">
        <v>75</v>
      </c>
      <c r="I143" t="s">
        <v>76</v>
      </c>
      <c r="J143" t="s">
        <v>77</v>
      </c>
      <c r="K143" t="s">
        <v>78</v>
      </c>
      <c r="L143" t="s">
        <v>91</v>
      </c>
      <c r="M143" t="s">
        <v>92</v>
      </c>
      <c r="N143" t="s">
        <v>672</v>
      </c>
      <c r="O143" t="s">
        <v>100</v>
      </c>
      <c r="P143" t="str">
        <f>"INV-00038270 035262           "</f>
        <v xml:space="preserve">INV-00038270 035262           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28.85</v>
      </c>
      <c r="AR143">
        <v>0</v>
      </c>
      <c r="AS143">
        <v>0</v>
      </c>
      <c r="AT143">
        <v>0</v>
      </c>
      <c r="AU143">
        <v>0</v>
      </c>
      <c r="AV143">
        <v>0</v>
      </c>
      <c r="AW143">
        <v>0</v>
      </c>
      <c r="AX143">
        <v>0</v>
      </c>
      <c r="AY143">
        <v>0</v>
      </c>
      <c r="AZ143">
        <v>0</v>
      </c>
      <c r="BA143">
        <v>0</v>
      </c>
      <c r="BB143">
        <v>0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1</v>
      </c>
      <c r="BI143">
        <v>0.8</v>
      </c>
      <c r="BJ143">
        <v>2.5</v>
      </c>
      <c r="BK143">
        <v>2.5</v>
      </c>
      <c r="BL143">
        <v>89.59</v>
      </c>
      <c r="BM143">
        <v>13.44</v>
      </c>
      <c r="BN143">
        <v>103.03</v>
      </c>
      <c r="BO143">
        <v>103.03</v>
      </c>
      <c r="BQ143" t="s">
        <v>673</v>
      </c>
      <c r="BR143" t="s">
        <v>84</v>
      </c>
      <c r="BS143" s="3">
        <v>45880</v>
      </c>
      <c r="BT143" s="4">
        <v>0.47222222222222221</v>
      </c>
      <c r="BU143" t="s">
        <v>674</v>
      </c>
      <c r="BV143" t="s">
        <v>86</v>
      </c>
      <c r="BY143">
        <v>12533.4</v>
      </c>
      <c r="CA143" t="s">
        <v>433</v>
      </c>
      <c r="CC143" t="s">
        <v>92</v>
      </c>
      <c r="CD143">
        <v>3629</v>
      </c>
      <c r="CE143" t="s">
        <v>143</v>
      </c>
      <c r="CF143" s="3">
        <v>45880</v>
      </c>
      <c r="CI143">
        <v>2</v>
      </c>
      <c r="CJ143">
        <v>2</v>
      </c>
      <c r="CK143">
        <v>21</v>
      </c>
      <c r="CL143" t="s">
        <v>90</v>
      </c>
    </row>
    <row r="144" spans="1:90" x14ac:dyDescent="0.3">
      <c r="A144" t="s">
        <v>72</v>
      </c>
      <c r="B144" t="s">
        <v>73</v>
      </c>
      <c r="C144" t="s">
        <v>74</v>
      </c>
      <c r="E144" t="str">
        <f>"GAB2027749"</f>
        <v>GAB2027749</v>
      </c>
      <c r="F144" s="3">
        <v>45876</v>
      </c>
      <c r="G144">
        <v>202605</v>
      </c>
      <c r="H144" t="s">
        <v>75</v>
      </c>
      <c r="I144" t="s">
        <v>76</v>
      </c>
      <c r="J144" t="s">
        <v>77</v>
      </c>
      <c r="K144" t="s">
        <v>78</v>
      </c>
      <c r="L144" t="s">
        <v>415</v>
      </c>
      <c r="M144" t="s">
        <v>416</v>
      </c>
      <c r="N144" t="s">
        <v>451</v>
      </c>
      <c r="O144" t="s">
        <v>100</v>
      </c>
      <c r="P144" t="str">
        <f>"INV-00038273 035267           "</f>
        <v xml:space="preserve">INV-00038273 035267           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28.85</v>
      </c>
      <c r="AR144">
        <v>0</v>
      </c>
      <c r="AS144">
        <v>0</v>
      </c>
      <c r="AT144">
        <v>0</v>
      </c>
      <c r="AU144">
        <v>0</v>
      </c>
      <c r="AV144">
        <v>0</v>
      </c>
      <c r="AW144">
        <v>0</v>
      </c>
      <c r="AX144">
        <v>0</v>
      </c>
      <c r="AY144">
        <v>0</v>
      </c>
      <c r="AZ144">
        <v>0</v>
      </c>
      <c r="BA144">
        <v>0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1</v>
      </c>
      <c r="BI144">
        <v>0.8</v>
      </c>
      <c r="BJ144">
        <v>2.5</v>
      </c>
      <c r="BK144">
        <v>2.5</v>
      </c>
      <c r="BL144">
        <v>89.59</v>
      </c>
      <c r="BM144">
        <v>13.44</v>
      </c>
      <c r="BN144">
        <v>103.03</v>
      </c>
      <c r="BO144">
        <v>103.03</v>
      </c>
      <c r="BQ144" t="s">
        <v>135</v>
      </c>
      <c r="BR144" t="s">
        <v>84</v>
      </c>
      <c r="BS144" s="3">
        <v>45877</v>
      </c>
      <c r="BT144" s="4">
        <v>0.36805555555555558</v>
      </c>
      <c r="BU144" t="s">
        <v>675</v>
      </c>
      <c r="BV144" t="s">
        <v>86</v>
      </c>
      <c r="BY144">
        <v>12537.28</v>
      </c>
      <c r="CA144" t="s">
        <v>676</v>
      </c>
      <c r="CC144" t="s">
        <v>416</v>
      </c>
      <c r="CD144">
        <v>2191</v>
      </c>
      <c r="CE144" t="s">
        <v>104</v>
      </c>
      <c r="CF144" s="3">
        <v>45878</v>
      </c>
      <c r="CI144">
        <v>1</v>
      </c>
      <c r="CJ144">
        <v>1</v>
      </c>
      <c r="CK144">
        <v>21</v>
      </c>
      <c r="CL144" t="s">
        <v>90</v>
      </c>
    </row>
    <row r="145" spans="1:90" x14ac:dyDescent="0.3">
      <c r="A145" t="s">
        <v>72</v>
      </c>
      <c r="B145" t="s">
        <v>73</v>
      </c>
      <c r="C145" t="s">
        <v>74</v>
      </c>
      <c r="E145" t="str">
        <f>"GAB2027750"</f>
        <v>GAB2027750</v>
      </c>
      <c r="F145" s="3">
        <v>45876</v>
      </c>
      <c r="G145">
        <v>202605</v>
      </c>
      <c r="H145" t="s">
        <v>75</v>
      </c>
      <c r="I145" t="s">
        <v>76</v>
      </c>
      <c r="J145" t="s">
        <v>77</v>
      </c>
      <c r="K145" t="s">
        <v>78</v>
      </c>
      <c r="L145" t="s">
        <v>415</v>
      </c>
      <c r="M145" t="s">
        <v>416</v>
      </c>
      <c r="N145" t="s">
        <v>677</v>
      </c>
      <c r="O145" t="s">
        <v>100</v>
      </c>
      <c r="P145" t="str">
        <f>"INV-00038275 035266           "</f>
        <v xml:space="preserve">INV-00038275 035266           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23.09</v>
      </c>
      <c r="AR145">
        <v>0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0</v>
      </c>
      <c r="AY145">
        <v>0</v>
      </c>
      <c r="AZ145">
        <v>0</v>
      </c>
      <c r="BA145">
        <v>0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1</v>
      </c>
      <c r="BI145">
        <v>1.1000000000000001</v>
      </c>
      <c r="BJ145">
        <v>1.9</v>
      </c>
      <c r="BK145">
        <v>2</v>
      </c>
      <c r="BL145">
        <v>71.69</v>
      </c>
      <c r="BM145">
        <v>10.75</v>
      </c>
      <c r="BN145">
        <v>82.44</v>
      </c>
      <c r="BO145">
        <v>82.44</v>
      </c>
      <c r="BQ145" t="s">
        <v>678</v>
      </c>
      <c r="BR145" t="s">
        <v>84</v>
      </c>
      <c r="BS145" s="3">
        <v>45877</v>
      </c>
      <c r="BT145" s="4">
        <v>0.35972222222222222</v>
      </c>
      <c r="BU145" t="s">
        <v>679</v>
      </c>
      <c r="BV145" t="s">
        <v>86</v>
      </c>
      <c r="BY145">
        <v>9406.8799999999992</v>
      </c>
      <c r="CA145" t="s">
        <v>680</v>
      </c>
      <c r="CC145" t="s">
        <v>416</v>
      </c>
      <c r="CD145">
        <v>2191</v>
      </c>
      <c r="CE145" t="s">
        <v>164</v>
      </c>
      <c r="CF145" s="3">
        <v>45877</v>
      </c>
      <c r="CI145">
        <v>1</v>
      </c>
      <c r="CJ145">
        <v>1</v>
      </c>
      <c r="CK145">
        <v>21</v>
      </c>
      <c r="CL145" t="s">
        <v>90</v>
      </c>
    </row>
    <row r="146" spans="1:90" x14ac:dyDescent="0.3">
      <c r="A146" t="s">
        <v>72</v>
      </c>
      <c r="B146" t="s">
        <v>73</v>
      </c>
      <c r="C146" t="s">
        <v>74</v>
      </c>
      <c r="E146" t="str">
        <f>"GAB2027751"</f>
        <v>GAB2027751</v>
      </c>
      <c r="F146" s="3">
        <v>45876</v>
      </c>
      <c r="G146">
        <v>202605</v>
      </c>
      <c r="H146" t="s">
        <v>75</v>
      </c>
      <c r="I146" t="s">
        <v>76</v>
      </c>
      <c r="J146" t="s">
        <v>77</v>
      </c>
      <c r="K146" t="s">
        <v>78</v>
      </c>
      <c r="L146" t="s">
        <v>345</v>
      </c>
      <c r="M146" t="s">
        <v>346</v>
      </c>
      <c r="N146" t="s">
        <v>400</v>
      </c>
      <c r="O146" t="s">
        <v>100</v>
      </c>
      <c r="P146" t="str">
        <f>"inv-00038276 034733           "</f>
        <v xml:space="preserve">inv-00038276 034733           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28.85</v>
      </c>
      <c r="AR146">
        <v>0</v>
      </c>
      <c r="AS146">
        <v>0</v>
      </c>
      <c r="AT146">
        <v>0</v>
      </c>
      <c r="AU146">
        <v>0</v>
      </c>
      <c r="AV146">
        <v>0</v>
      </c>
      <c r="AW146">
        <v>0</v>
      </c>
      <c r="AX146">
        <v>0</v>
      </c>
      <c r="AY146">
        <v>0</v>
      </c>
      <c r="AZ146">
        <v>0</v>
      </c>
      <c r="BA146">
        <v>0</v>
      </c>
      <c r="BB146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1</v>
      </c>
      <c r="BI146">
        <v>0.7</v>
      </c>
      <c r="BJ146">
        <v>2.2999999999999998</v>
      </c>
      <c r="BK146">
        <v>2.5</v>
      </c>
      <c r="BL146">
        <v>89.59</v>
      </c>
      <c r="BM146">
        <v>13.44</v>
      </c>
      <c r="BN146">
        <v>103.03</v>
      </c>
      <c r="BO146">
        <v>103.03</v>
      </c>
      <c r="BQ146" t="s">
        <v>681</v>
      </c>
      <c r="BR146" t="s">
        <v>84</v>
      </c>
      <c r="BS146" s="3">
        <v>45877</v>
      </c>
      <c r="BT146" s="4">
        <v>0.43055555555555558</v>
      </c>
      <c r="BU146" t="s">
        <v>682</v>
      </c>
      <c r="BV146" t="s">
        <v>86</v>
      </c>
      <c r="BY146">
        <v>11459.18</v>
      </c>
      <c r="CC146" t="s">
        <v>346</v>
      </c>
      <c r="CD146">
        <v>9301</v>
      </c>
      <c r="CE146" t="s">
        <v>109</v>
      </c>
      <c r="CF146" s="3">
        <v>45880</v>
      </c>
      <c r="CI146">
        <v>2</v>
      </c>
      <c r="CJ146">
        <v>1</v>
      </c>
      <c r="CK146">
        <v>21</v>
      </c>
      <c r="CL146" t="s">
        <v>90</v>
      </c>
    </row>
    <row r="147" spans="1:90" x14ac:dyDescent="0.3">
      <c r="A147" t="s">
        <v>72</v>
      </c>
      <c r="B147" t="s">
        <v>73</v>
      </c>
      <c r="C147" t="s">
        <v>74</v>
      </c>
      <c r="E147" t="str">
        <f>"GAB2027752"</f>
        <v>GAB2027752</v>
      </c>
      <c r="F147" s="3">
        <v>45876</v>
      </c>
      <c r="G147">
        <v>202605</v>
      </c>
      <c r="H147" t="s">
        <v>75</v>
      </c>
      <c r="I147" t="s">
        <v>76</v>
      </c>
      <c r="J147" t="s">
        <v>77</v>
      </c>
      <c r="K147" t="s">
        <v>78</v>
      </c>
      <c r="L147" t="s">
        <v>494</v>
      </c>
      <c r="M147" t="s">
        <v>495</v>
      </c>
      <c r="N147" t="s">
        <v>683</v>
      </c>
      <c r="O147" t="s">
        <v>100</v>
      </c>
      <c r="P147" t="str">
        <f>"inv-00119994 CT096521         "</f>
        <v xml:space="preserve">inv-00119994 CT096521         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28.85</v>
      </c>
      <c r="AR147">
        <v>0</v>
      </c>
      <c r="AS147">
        <v>0</v>
      </c>
      <c r="AT147">
        <v>0</v>
      </c>
      <c r="AU147">
        <v>0</v>
      </c>
      <c r="AV147">
        <v>0</v>
      </c>
      <c r="AW147">
        <v>0</v>
      </c>
      <c r="AX147">
        <v>0</v>
      </c>
      <c r="AY147">
        <v>0</v>
      </c>
      <c r="AZ147">
        <v>0</v>
      </c>
      <c r="BA147">
        <v>0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1</v>
      </c>
      <c r="BI147">
        <v>0.8</v>
      </c>
      <c r="BJ147">
        <v>2.5</v>
      </c>
      <c r="BK147">
        <v>2.5</v>
      </c>
      <c r="BL147">
        <v>89.59</v>
      </c>
      <c r="BM147">
        <v>13.44</v>
      </c>
      <c r="BN147">
        <v>103.03</v>
      </c>
      <c r="BO147">
        <v>103.03</v>
      </c>
      <c r="BQ147" t="s">
        <v>684</v>
      </c>
      <c r="BR147" t="s">
        <v>84</v>
      </c>
      <c r="BS147" s="3">
        <v>45880</v>
      </c>
      <c r="BT147" s="4">
        <v>0.52777777777777779</v>
      </c>
      <c r="BU147" t="s">
        <v>685</v>
      </c>
      <c r="BV147" t="s">
        <v>90</v>
      </c>
      <c r="BY147">
        <v>12309.57</v>
      </c>
      <c r="CA147" t="s">
        <v>570</v>
      </c>
      <c r="CC147" t="s">
        <v>495</v>
      </c>
      <c r="CD147">
        <v>3201</v>
      </c>
      <c r="CE147" t="s">
        <v>686</v>
      </c>
      <c r="CF147" s="3">
        <v>45881</v>
      </c>
      <c r="CI147">
        <v>1</v>
      </c>
      <c r="CJ147">
        <v>2</v>
      </c>
      <c r="CK147">
        <v>21</v>
      </c>
      <c r="CL147" t="s">
        <v>90</v>
      </c>
    </row>
    <row r="148" spans="1:90" x14ac:dyDescent="0.3">
      <c r="A148" t="s">
        <v>72</v>
      </c>
      <c r="B148" t="s">
        <v>73</v>
      </c>
      <c r="C148" t="s">
        <v>74</v>
      </c>
      <c r="E148" t="str">
        <f>"GAB2027753"</f>
        <v>GAB2027753</v>
      </c>
      <c r="F148" s="3">
        <v>45876</v>
      </c>
      <c r="G148">
        <v>202605</v>
      </c>
      <c r="H148" t="s">
        <v>75</v>
      </c>
      <c r="I148" t="s">
        <v>76</v>
      </c>
      <c r="J148" t="s">
        <v>77</v>
      </c>
      <c r="K148" t="s">
        <v>78</v>
      </c>
      <c r="L148" t="s">
        <v>75</v>
      </c>
      <c r="M148" t="s">
        <v>76</v>
      </c>
      <c r="N148" t="s">
        <v>224</v>
      </c>
      <c r="O148" t="s">
        <v>100</v>
      </c>
      <c r="P148" t="str">
        <f>"INV-00119997 CT096523         "</f>
        <v xml:space="preserve">INV-00119997 CT096523         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18.03</v>
      </c>
      <c r="AR148">
        <v>0</v>
      </c>
      <c r="AS148">
        <v>0</v>
      </c>
      <c r="AT148">
        <v>0</v>
      </c>
      <c r="AU148">
        <v>0</v>
      </c>
      <c r="AV148">
        <v>0</v>
      </c>
      <c r="AW148">
        <v>0</v>
      </c>
      <c r="AX148">
        <v>0</v>
      </c>
      <c r="AY148">
        <v>0</v>
      </c>
      <c r="AZ148">
        <v>0</v>
      </c>
      <c r="BA148">
        <v>0</v>
      </c>
      <c r="BB148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1</v>
      </c>
      <c r="BI148">
        <v>1.1000000000000001</v>
      </c>
      <c r="BJ148">
        <v>1.9</v>
      </c>
      <c r="BK148">
        <v>2</v>
      </c>
      <c r="BL148">
        <v>55.99</v>
      </c>
      <c r="BM148">
        <v>8.4</v>
      </c>
      <c r="BN148">
        <v>64.39</v>
      </c>
      <c r="BO148">
        <v>64.39</v>
      </c>
      <c r="BQ148" t="s">
        <v>225</v>
      </c>
      <c r="BR148" t="s">
        <v>84</v>
      </c>
      <c r="BS148" s="3">
        <v>45877</v>
      </c>
      <c r="BT148" s="4">
        <v>0.36666666666666664</v>
      </c>
      <c r="BU148" t="s">
        <v>687</v>
      </c>
      <c r="BV148" t="s">
        <v>86</v>
      </c>
      <c r="BY148">
        <v>9362.67</v>
      </c>
      <c r="CA148" t="s">
        <v>334</v>
      </c>
      <c r="CC148" t="s">
        <v>76</v>
      </c>
      <c r="CD148">
        <v>7700</v>
      </c>
      <c r="CE148" t="s">
        <v>265</v>
      </c>
      <c r="CF148" s="3">
        <v>45880</v>
      </c>
      <c r="CI148">
        <v>1</v>
      </c>
      <c r="CJ148">
        <v>1</v>
      </c>
      <c r="CK148">
        <v>22</v>
      </c>
      <c r="CL148" t="s">
        <v>90</v>
      </c>
    </row>
    <row r="149" spans="1:90" x14ac:dyDescent="0.3">
      <c r="A149" t="s">
        <v>72</v>
      </c>
      <c r="B149" t="s">
        <v>73</v>
      </c>
      <c r="C149" t="s">
        <v>74</v>
      </c>
      <c r="E149" t="str">
        <f>"GAB2027754"</f>
        <v>GAB2027754</v>
      </c>
      <c r="F149" s="3">
        <v>45876</v>
      </c>
      <c r="G149">
        <v>202605</v>
      </c>
      <c r="H149" t="s">
        <v>75</v>
      </c>
      <c r="I149" t="s">
        <v>76</v>
      </c>
      <c r="J149" t="s">
        <v>77</v>
      </c>
      <c r="K149" t="s">
        <v>78</v>
      </c>
      <c r="L149" t="s">
        <v>415</v>
      </c>
      <c r="M149" t="s">
        <v>416</v>
      </c>
      <c r="N149" t="s">
        <v>688</v>
      </c>
      <c r="O149" t="s">
        <v>100</v>
      </c>
      <c r="P149" t="str">
        <f>"INV-00119999 CT096378         "</f>
        <v xml:space="preserve">INV-00119999 CT096378         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57.68</v>
      </c>
      <c r="AR149">
        <v>0</v>
      </c>
      <c r="AS149">
        <v>0</v>
      </c>
      <c r="AT149">
        <v>0</v>
      </c>
      <c r="AU149">
        <v>0</v>
      </c>
      <c r="AV149">
        <v>0</v>
      </c>
      <c r="AW149">
        <v>0</v>
      </c>
      <c r="AX149">
        <v>0</v>
      </c>
      <c r="AY149">
        <v>0</v>
      </c>
      <c r="AZ149">
        <v>0</v>
      </c>
      <c r="BA149">
        <v>0</v>
      </c>
      <c r="BB149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1</v>
      </c>
      <c r="BI149">
        <v>0.6</v>
      </c>
      <c r="BJ149">
        <v>4.7</v>
      </c>
      <c r="BK149">
        <v>5</v>
      </c>
      <c r="BL149">
        <v>179.12</v>
      </c>
      <c r="BM149">
        <v>26.87</v>
      </c>
      <c r="BN149">
        <v>205.99</v>
      </c>
      <c r="BO149">
        <v>205.99</v>
      </c>
      <c r="BQ149" t="s">
        <v>689</v>
      </c>
      <c r="BR149" t="s">
        <v>84</v>
      </c>
      <c r="BS149" s="3">
        <v>45881</v>
      </c>
      <c r="BT149" s="4">
        <v>0.48472222222222222</v>
      </c>
      <c r="BU149" t="s">
        <v>198</v>
      </c>
      <c r="BV149" t="s">
        <v>90</v>
      </c>
      <c r="BW149" t="s">
        <v>589</v>
      </c>
      <c r="BX149" t="s">
        <v>690</v>
      </c>
      <c r="BY149">
        <v>23465</v>
      </c>
      <c r="CA149" t="s">
        <v>199</v>
      </c>
      <c r="CC149" t="s">
        <v>416</v>
      </c>
      <c r="CD149">
        <v>2191</v>
      </c>
      <c r="CE149" t="s">
        <v>116</v>
      </c>
      <c r="CI149">
        <v>1</v>
      </c>
      <c r="CJ149">
        <v>3</v>
      </c>
      <c r="CK149">
        <v>21</v>
      </c>
      <c r="CL149" t="s">
        <v>90</v>
      </c>
    </row>
    <row r="150" spans="1:90" x14ac:dyDescent="0.3">
      <c r="A150" t="s">
        <v>72</v>
      </c>
      <c r="B150" t="s">
        <v>73</v>
      </c>
      <c r="C150" t="s">
        <v>74</v>
      </c>
      <c r="E150" t="str">
        <f>"GAB2027755"</f>
        <v>GAB2027755</v>
      </c>
      <c r="F150" s="3">
        <v>45876</v>
      </c>
      <c r="G150">
        <v>202605</v>
      </c>
      <c r="H150" t="s">
        <v>75</v>
      </c>
      <c r="I150" t="s">
        <v>76</v>
      </c>
      <c r="J150" t="s">
        <v>77</v>
      </c>
      <c r="K150" t="s">
        <v>78</v>
      </c>
      <c r="L150" t="s">
        <v>126</v>
      </c>
      <c r="M150" t="s">
        <v>127</v>
      </c>
      <c r="N150" t="s">
        <v>128</v>
      </c>
      <c r="O150" t="s">
        <v>100</v>
      </c>
      <c r="P150" t="str">
        <f>"INV-00120000 CT096525         "</f>
        <v xml:space="preserve">INV-00120000 CT096525         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18.03</v>
      </c>
      <c r="AR150">
        <v>0</v>
      </c>
      <c r="AS150">
        <v>0</v>
      </c>
      <c r="AT150">
        <v>0</v>
      </c>
      <c r="AU150">
        <v>0</v>
      </c>
      <c r="AV150">
        <v>0</v>
      </c>
      <c r="AW150">
        <v>0</v>
      </c>
      <c r="AX150">
        <v>0</v>
      </c>
      <c r="AY150">
        <v>0</v>
      </c>
      <c r="AZ150">
        <v>0</v>
      </c>
      <c r="BA150">
        <v>0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1</v>
      </c>
      <c r="BI150">
        <v>0.6</v>
      </c>
      <c r="BJ150">
        <v>2.6</v>
      </c>
      <c r="BK150">
        <v>3</v>
      </c>
      <c r="BL150">
        <v>55.99</v>
      </c>
      <c r="BM150">
        <v>8.4</v>
      </c>
      <c r="BN150">
        <v>64.39</v>
      </c>
      <c r="BO150">
        <v>64.39</v>
      </c>
      <c r="BQ150" t="s">
        <v>129</v>
      </c>
      <c r="BR150" t="s">
        <v>84</v>
      </c>
      <c r="BS150" s="3">
        <v>45877</v>
      </c>
      <c r="BT150" s="4">
        <v>0.4236111111111111</v>
      </c>
      <c r="BU150" t="s">
        <v>691</v>
      </c>
      <c r="BV150" t="s">
        <v>86</v>
      </c>
      <c r="BY150">
        <v>12822.5</v>
      </c>
      <c r="CA150" t="s">
        <v>692</v>
      </c>
      <c r="CC150" t="s">
        <v>127</v>
      </c>
      <c r="CD150">
        <v>7600</v>
      </c>
      <c r="CE150" t="s">
        <v>116</v>
      </c>
      <c r="CF150" s="3">
        <v>45880</v>
      </c>
      <c r="CI150">
        <v>1</v>
      </c>
      <c r="CJ150">
        <v>1</v>
      </c>
      <c r="CK150">
        <v>22</v>
      </c>
      <c r="CL150" t="s">
        <v>90</v>
      </c>
    </row>
    <row r="151" spans="1:90" x14ac:dyDescent="0.3">
      <c r="A151" t="s">
        <v>72</v>
      </c>
      <c r="B151" t="s">
        <v>73</v>
      </c>
      <c r="C151" t="s">
        <v>74</v>
      </c>
      <c r="E151" t="str">
        <f>"GAB2027765"</f>
        <v>GAB2027765</v>
      </c>
      <c r="F151" s="3">
        <v>45876</v>
      </c>
      <c r="G151">
        <v>202605</v>
      </c>
      <c r="H151" t="s">
        <v>75</v>
      </c>
      <c r="I151" t="s">
        <v>76</v>
      </c>
      <c r="J151" t="s">
        <v>77</v>
      </c>
      <c r="K151" t="s">
        <v>78</v>
      </c>
      <c r="L151" t="s">
        <v>693</v>
      </c>
      <c r="M151" t="s">
        <v>694</v>
      </c>
      <c r="N151" t="s">
        <v>695</v>
      </c>
      <c r="O151" t="s">
        <v>100</v>
      </c>
      <c r="P151" t="str">
        <f>"INV-00120008 CT096531         "</f>
        <v xml:space="preserve">INV-00120008 CT096531         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64.92</v>
      </c>
      <c r="AR151">
        <v>0</v>
      </c>
      <c r="AS151">
        <v>0</v>
      </c>
      <c r="AT151">
        <v>0</v>
      </c>
      <c r="AU151">
        <v>0</v>
      </c>
      <c r="AV151">
        <v>0</v>
      </c>
      <c r="AW151">
        <v>0</v>
      </c>
      <c r="AX151">
        <v>0</v>
      </c>
      <c r="AY151">
        <v>0</v>
      </c>
      <c r="AZ151">
        <v>0</v>
      </c>
      <c r="BA151">
        <v>0</v>
      </c>
      <c r="BB151">
        <v>0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1</v>
      </c>
      <c r="BI151">
        <v>0.9</v>
      </c>
      <c r="BJ151">
        <v>2.8</v>
      </c>
      <c r="BK151">
        <v>3</v>
      </c>
      <c r="BL151">
        <v>201.6</v>
      </c>
      <c r="BM151">
        <v>30.24</v>
      </c>
      <c r="BN151">
        <v>231.84</v>
      </c>
      <c r="BO151">
        <v>231.84</v>
      </c>
      <c r="BQ151" t="s">
        <v>696</v>
      </c>
      <c r="BR151" t="s">
        <v>84</v>
      </c>
      <c r="BS151" s="3">
        <v>45877</v>
      </c>
      <c r="BT151" s="4">
        <v>0.33402777777777776</v>
      </c>
      <c r="BU151" t="s">
        <v>697</v>
      </c>
      <c r="BV151" t="s">
        <v>86</v>
      </c>
      <c r="BY151">
        <v>13760.16</v>
      </c>
      <c r="CA151" t="s">
        <v>698</v>
      </c>
      <c r="CC151" t="s">
        <v>694</v>
      </c>
      <c r="CD151">
        <v>2515</v>
      </c>
      <c r="CE151" t="s">
        <v>104</v>
      </c>
      <c r="CF151" s="3">
        <v>45878</v>
      </c>
      <c r="CI151">
        <v>1</v>
      </c>
      <c r="CJ151">
        <v>1</v>
      </c>
      <c r="CK151">
        <v>23</v>
      </c>
      <c r="CL151" t="s">
        <v>90</v>
      </c>
    </row>
    <row r="152" spans="1:90" x14ac:dyDescent="0.3">
      <c r="A152" t="s">
        <v>72</v>
      </c>
      <c r="B152" t="s">
        <v>73</v>
      </c>
      <c r="C152" t="s">
        <v>74</v>
      </c>
      <c r="E152" t="str">
        <f>"GAB2027766"</f>
        <v>GAB2027766</v>
      </c>
      <c r="F152" s="3">
        <v>45876</v>
      </c>
      <c r="G152">
        <v>202605</v>
      </c>
      <c r="H152" t="s">
        <v>75</v>
      </c>
      <c r="I152" t="s">
        <v>76</v>
      </c>
      <c r="J152" t="s">
        <v>77</v>
      </c>
      <c r="K152" t="s">
        <v>78</v>
      </c>
      <c r="L152" t="s">
        <v>75</v>
      </c>
      <c r="M152" t="s">
        <v>76</v>
      </c>
      <c r="N152" t="s">
        <v>699</v>
      </c>
      <c r="O152" t="s">
        <v>100</v>
      </c>
      <c r="P152" t="str">
        <f>"INV-00119934 00119937 CT096484"</f>
        <v>INV-00119934 00119937 CT096484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18.03</v>
      </c>
      <c r="AR152">
        <v>0</v>
      </c>
      <c r="AS152">
        <v>0</v>
      </c>
      <c r="AT152">
        <v>0</v>
      </c>
      <c r="AU152">
        <v>0</v>
      </c>
      <c r="AV152">
        <v>0</v>
      </c>
      <c r="AW152">
        <v>0</v>
      </c>
      <c r="AX152">
        <v>0</v>
      </c>
      <c r="AY152">
        <v>0</v>
      </c>
      <c r="AZ152">
        <v>0</v>
      </c>
      <c r="BA152">
        <v>0</v>
      </c>
      <c r="BB152">
        <v>0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1</v>
      </c>
      <c r="BI152">
        <v>1.1000000000000001</v>
      </c>
      <c r="BJ152">
        <v>1.9</v>
      </c>
      <c r="BK152">
        <v>2</v>
      </c>
      <c r="BL152">
        <v>55.99</v>
      </c>
      <c r="BM152">
        <v>8.4</v>
      </c>
      <c r="BN152">
        <v>64.39</v>
      </c>
      <c r="BO152">
        <v>64.39</v>
      </c>
      <c r="BQ152" t="s">
        <v>700</v>
      </c>
      <c r="BR152" t="s">
        <v>84</v>
      </c>
      <c r="BS152" s="3">
        <v>45877</v>
      </c>
      <c r="BT152" s="4">
        <v>0.38750000000000001</v>
      </c>
      <c r="BU152" t="s">
        <v>701</v>
      </c>
      <c r="BV152" t="s">
        <v>86</v>
      </c>
      <c r="BY152">
        <v>9491.24</v>
      </c>
      <c r="CA152" t="s">
        <v>702</v>
      </c>
      <c r="CC152" t="s">
        <v>76</v>
      </c>
      <c r="CD152">
        <v>7441</v>
      </c>
      <c r="CE152" t="s">
        <v>703</v>
      </c>
      <c r="CF152" s="3">
        <v>45880</v>
      </c>
      <c r="CI152">
        <v>1</v>
      </c>
      <c r="CJ152">
        <v>1</v>
      </c>
      <c r="CK152">
        <v>22</v>
      </c>
      <c r="CL152" t="s">
        <v>90</v>
      </c>
    </row>
    <row r="153" spans="1:90" x14ac:dyDescent="0.3">
      <c r="A153" t="s">
        <v>72</v>
      </c>
      <c r="B153" t="s">
        <v>73</v>
      </c>
      <c r="C153" t="s">
        <v>74</v>
      </c>
      <c r="E153" t="str">
        <f>"009945127739"</f>
        <v>009945127739</v>
      </c>
      <c r="F153" s="3">
        <v>45876</v>
      </c>
      <c r="G153">
        <v>202605</v>
      </c>
      <c r="H153" t="s">
        <v>91</v>
      </c>
      <c r="I153" t="s">
        <v>92</v>
      </c>
      <c r="J153" t="s">
        <v>592</v>
      </c>
      <c r="K153" t="s">
        <v>78</v>
      </c>
      <c r="L153" t="s">
        <v>75</v>
      </c>
      <c r="M153" t="s">
        <v>76</v>
      </c>
      <c r="N153" t="s">
        <v>257</v>
      </c>
      <c r="O153" t="s">
        <v>100</v>
      </c>
      <c r="P153" t="str">
        <f>"LEVENE                        "</f>
        <v xml:space="preserve">LEVENE                        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23.09</v>
      </c>
      <c r="AR153">
        <v>0</v>
      </c>
      <c r="AS153">
        <v>0</v>
      </c>
      <c r="AT153">
        <v>0</v>
      </c>
      <c r="AU153">
        <v>0</v>
      </c>
      <c r="AV153">
        <v>0</v>
      </c>
      <c r="AW153">
        <v>0</v>
      </c>
      <c r="AX153">
        <v>0</v>
      </c>
      <c r="AY153">
        <v>0</v>
      </c>
      <c r="AZ153">
        <v>0</v>
      </c>
      <c r="BA153">
        <v>0</v>
      </c>
      <c r="BB153">
        <v>0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1</v>
      </c>
      <c r="BI153">
        <v>1</v>
      </c>
      <c r="BJ153">
        <v>0.2</v>
      </c>
      <c r="BK153">
        <v>1</v>
      </c>
      <c r="BL153">
        <v>71.69</v>
      </c>
      <c r="BM153">
        <v>10.75</v>
      </c>
      <c r="BN153">
        <v>82.44</v>
      </c>
      <c r="BO153">
        <v>82.44</v>
      </c>
      <c r="BQ153" t="s">
        <v>704</v>
      </c>
      <c r="BR153" t="s">
        <v>594</v>
      </c>
      <c r="BS153" s="3">
        <v>45880</v>
      </c>
      <c r="BT153" s="4">
        <v>0.52569444444444446</v>
      </c>
      <c r="BU153" t="s">
        <v>349</v>
      </c>
      <c r="BV153" t="s">
        <v>86</v>
      </c>
      <c r="BY153">
        <v>1200</v>
      </c>
      <c r="BZ153" t="s">
        <v>102</v>
      </c>
      <c r="CA153" t="s">
        <v>351</v>
      </c>
      <c r="CC153" t="s">
        <v>76</v>
      </c>
      <c r="CD153">
        <v>7485</v>
      </c>
      <c r="CE153" t="s">
        <v>352</v>
      </c>
      <c r="CF153" s="3">
        <v>45881</v>
      </c>
      <c r="CI153">
        <v>2</v>
      </c>
      <c r="CJ153">
        <v>2</v>
      </c>
      <c r="CK153">
        <v>21</v>
      </c>
      <c r="CL153" t="s">
        <v>90</v>
      </c>
    </row>
    <row r="154" spans="1:90" x14ac:dyDescent="0.3">
      <c r="A154" t="s">
        <v>72</v>
      </c>
      <c r="B154" t="s">
        <v>73</v>
      </c>
      <c r="C154" t="s">
        <v>74</v>
      </c>
      <c r="E154" t="str">
        <f>"R009945156762"</f>
        <v>R009945156762</v>
      </c>
      <c r="F154" s="3">
        <v>45875</v>
      </c>
      <c r="G154">
        <v>202605</v>
      </c>
      <c r="H154" t="s">
        <v>148</v>
      </c>
      <c r="I154" t="s">
        <v>149</v>
      </c>
      <c r="J154" t="s">
        <v>607</v>
      </c>
      <c r="K154" t="s">
        <v>78</v>
      </c>
      <c r="L154" t="s">
        <v>148</v>
      </c>
      <c r="M154" t="s">
        <v>149</v>
      </c>
      <c r="N154" t="s">
        <v>705</v>
      </c>
      <c r="O154" t="s">
        <v>100</v>
      </c>
      <c r="P154" t="str">
        <f>"NO REF                        "</f>
        <v xml:space="preserve">NO REF                        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18.03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0</v>
      </c>
      <c r="AX154">
        <v>0</v>
      </c>
      <c r="AY154">
        <v>0</v>
      </c>
      <c r="AZ154">
        <v>0</v>
      </c>
      <c r="BA154">
        <v>0</v>
      </c>
      <c r="BB154">
        <v>0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1</v>
      </c>
      <c r="BI154">
        <v>3.6</v>
      </c>
      <c r="BJ154">
        <v>2.4</v>
      </c>
      <c r="BK154">
        <v>4</v>
      </c>
      <c r="BL154">
        <v>55.99</v>
      </c>
      <c r="BM154">
        <v>8.4</v>
      </c>
      <c r="BN154">
        <v>64.39</v>
      </c>
      <c r="BO154">
        <v>64.39</v>
      </c>
      <c r="BQ154" s="5" t="s">
        <v>706</v>
      </c>
      <c r="BR154" t="s">
        <v>707</v>
      </c>
      <c r="BS154" s="3">
        <v>45881</v>
      </c>
      <c r="BT154" s="4">
        <v>0.46250000000000002</v>
      </c>
      <c r="BU154" t="s">
        <v>198</v>
      </c>
      <c r="BV154" t="s">
        <v>90</v>
      </c>
      <c r="BY154">
        <v>12150</v>
      </c>
      <c r="BZ154" t="s">
        <v>530</v>
      </c>
      <c r="CA154" t="s">
        <v>708</v>
      </c>
      <c r="CC154" t="s">
        <v>149</v>
      </c>
      <c r="CD154">
        <v>6000</v>
      </c>
      <c r="CE154" t="s">
        <v>355</v>
      </c>
      <c r="CI154">
        <v>1</v>
      </c>
      <c r="CJ154">
        <v>4</v>
      </c>
      <c r="CK154">
        <v>22</v>
      </c>
      <c r="CL154" t="s">
        <v>90</v>
      </c>
    </row>
    <row r="155" spans="1:90" x14ac:dyDescent="0.3">
      <c r="A155" t="s">
        <v>72</v>
      </c>
      <c r="B155" t="s">
        <v>73</v>
      </c>
      <c r="C155" t="s">
        <v>74</v>
      </c>
      <c r="E155" t="str">
        <f>"GAB2027773"</f>
        <v>GAB2027773</v>
      </c>
      <c r="F155" s="3">
        <v>45877</v>
      </c>
      <c r="G155">
        <v>202605</v>
      </c>
      <c r="H155" t="s">
        <v>75</v>
      </c>
      <c r="I155" t="s">
        <v>76</v>
      </c>
      <c r="J155" t="s">
        <v>77</v>
      </c>
      <c r="K155" t="s">
        <v>78</v>
      </c>
      <c r="L155" t="s">
        <v>172</v>
      </c>
      <c r="M155" t="s">
        <v>173</v>
      </c>
      <c r="N155" t="s">
        <v>709</v>
      </c>
      <c r="O155" t="s">
        <v>82</v>
      </c>
      <c r="P155" t="str">
        <f>"INV-00120021 CT096536         "</f>
        <v xml:space="preserve">INV-00120021 CT096536         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5.87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49.3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0</v>
      </c>
      <c r="AX155">
        <v>0</v>
      </c>
      <c r="AY155">
        <v>0</v>
      </c>
      <c r="AZ155">
        <v>0</v>
      </c>
      <c r="BA155">
        <v>0</v>
      </c>
      <c r="BB155">
        <v>0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1</v>
      </c>
      <c r="BI155">
        <v>3.9</v>
      </c>
      <c r="BJ155">
        <v>6.5</v>
      </c>
      <c r="BK155">
        <v>7</v>
      </c>
      <c r="BL155">
        <v>158.96</v>
      </c>
      <c r="BM155">
        <v>23.84</v>
      </c>
      <c r="BN155">
        <v>182.8</v>
      </c>
      <c r="BO155">
        <v>182.8</v>
      </c>
      <c r="BQ155" t="s">
        <v>710</v>
      </c>
      <c r="BR155" t="s">
        <v>84</v>
      </c>
      <c r="BS155" s="3">
        <v>45880</v>
      </c>
      <c r="BT155" s="4">
        <v>0.62708333333333333</v>
      </c>
      <c r="BU155" t="s">
        <v>711</v>
      </c>
      <c r="BV155" t="s">
        <v>86</v>
      </c>
      <c r="BY155">
        <v>63379.199999999997</v>
      </c>
      <c r="CA155" t="s">
        <v>278</v>
      </c>
      <c r="CC155" t="s">
        <v>173</v>
      </c>
      <c r="CD155">
        <v>6850</v>
      </c>
      <c r="CE155" t="s">
        <v>171</v>
      </c>
      <c r="CF155" s="3">
        <v>45881</v>
      </c>
      <c r="CI155">
        <v>0</v>
      </c>
      <c r="CJ155">
        <v>0</v>
      </c>
      <c r="CK155">
        <v>44</v>
      </c>
      <c r="CL155" t="s">
        <v>90</v>
      </c>
    </row>
    <row r="156" spans="1:90" x14ac:dyDescent="0.3">
      <c r="A156" t="s">
        <v>72</v>
      </c>
      <c r="B156" t="s">
        <v>73</v>
      </c>
      <c r="C156" t="s">
        <v>74</v>
      </c>
      <c r="E156" t="str">
        <f>"GAB2027775"</f>
        <v>GAB2027775</v>
      </c>
      <c r="F156" s="3">
        <v>45877</v>
      </c>
      <c r="G156">
        <v>202605</v>
      </c>
      <c r="H156" t="s">
        <v>75</v>
      </c>
      <c r="I156" t="s">
        <v>76</v>
      </c>
      <c r="J156" t="s">
        <v>77</v>
      </c>
      <c r="K156" t="s">
        <v>78</v>
      </c>
      <c r="L156" t="s">
        <v>201</v>
      </c>
      <c r="M156" t="s">
        <v>202</v>
      </c>
      <c r="N156" t="s">
        <v>712</v>
      </c>
      <c r="O156" t="s">
        <v>82</v>
      </c>
      <c r="P156" t="str">
        <f>"INV-00120014 CT096527         "</f>
        <v xml:space="preserve">INV-00120014 CT096527         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5.87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62.96</v>
      </c>
      <c r="AR156">
        <v>0</v>
      </c>
      <c r="AS156">
        <v>0</v>
      </c>
      <c r="AT156">
        <v>0</v>
      </c>
      <c r="AU156">
        <v>0</v>
      </c>
      <c r="AV156">
        <v>0</v>
      </c>
      <c r="AW156">
        <v>0</v>
      </c>
      <c r="AX156">
        <v>0</v>
      </c>
      <c r="AY156">
        <v>0</v>
      </c>
      <c r="AZ156">
        <v>0</v>
      </c>
      <c r="BA156">
        <v>0</v>
      </c>
      <c r="BB156">
        <v>0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1</v>
      </c>
      <c r="BI156">
        <v>4.3</v>
      </c>
      <c r="BJ156">
        <v>6.1</v>
      </c>
      <c r="BK156">
        <v>7</v>
      </c>
      <c r="BL156">
        <v>201.38</v>
      </c>
      <c r="BM156">
        <v>30.21</v>
      </c>
      <c r="BN156">
        <v>231.59</v>
      </c>
      <c r="BO156">
        <v>231.59</v>
      </c>
      <c r="BQ156" t="s">
        <v>713</v>
      </c>
      <c r="BR156" t="s">
        <v>84</v>
      </c>
      <c r="BS156" s="3">
        <v>45881</v>
      </c>
      <c r="BT156" s="4">
        <v>0.63958333333333328</v>
      </c>
      <c r="BU156" t="s">
        <v>714</v>
      </c>
      <c r="BV156" t="s">
        <v>86</v>
      </c>
      <c r="BY156">
        <v>62053.25</v>
      </c>
      <c r="CA156" t="s">
        <v>715</v>
      </c>
      <c r="CC156" t="s">
        <v>202</v>
      </c>
      <c r="CD156" s="5" t="s">
        <v>716</v>
      </c>
      <c r="CE156" t="s">
        <v>171</v>
      </c>
      <c r="CF156" s="3">
        <v>45882</v>
      </c>
      <c r="CI156">
        <v>3</v>
      </c>
      <c r="CJ156">
        <v>2</v>
      </c>
      <c r="CK156">
        <v>43</v>
      </c>
      <c r="CL156" t="s">
        <v>90</v>
      </c>
    </row>
    <row r="157" spans="1:90" x14ac:dyDescent="0.3">
      <c r="A157" t="s">
        <v>72</v>
      </c>
      <c r="B157" t="s">
        <v>73</v>
      </c>
      <c r="C157" t="s">
        <v>74</v>
      </c>
      <c r="E157" t="str">
        <f>"GAB2027778"</f>
        <v>GAB2027778</v>
      </c>
      <c r="F157" s="3">
        <v>45877</v>
      </c>
      <c r="G157">
        <v>202605</v>
      </c>
      <c r="H157" t="s">
        <v>75</v>
      </c>
      <c r="I157" t="s">
        <v>76</v>
      </c>
      <c r="J157" t="s">
        <v>77</v>
      </c>
      <c r="K157" t="s">
        <v>78</v>
      </c>
      <c r="L157" t="s">
        <v>75</v>
      </c>
      <c r="M157" t="s">
        <v>76</v>
      </c>
      <c r="N157" t="s">
        <v>717</v>
      </c>
      <c r="O157" t="s">
        <v>82</v>
      </c>
      <c r="P157" t="str">
        <f>"INV-00120026 CT096537         "</f>
        <v xml:space="preserve">INV-00120026 CT096537         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5.87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48.55</v>
      </c>
      <c r="AR157">
        <v>0</v>
      </c>
      <c r="AS157">
        <v>0</v>
      </c>
      <c r="AT157">
        <v>0</v>
      </c>
      <c r="AU157">
        <v>0</v>
      </c>
      <c r="AV157">
        <v>0</v>
      </c>
      <c r="AW157">
        <v>0</v>
      </c>
      <c r="AX157">
        <v>0</v>
      </c>
      <c r="AY157">
        <v>0</v>
      </c>
      <c r="AZ157">
        <v>0</v>
      </c>
      <c r="BA157">
        <v>0</v>
      </c>
      <c r="BB157">
        <v>0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2</v>
      </c>
      <c r="BI157">
        <v>28.2</v>
      </c>
      <c r="BJ157">
        <v>3.4</v>
      </c>
      <c r="BK157">
        <v>29</v>
      </c>
      <c r="BL157">
        <v>156.62</v>
      </c>
      <c r="BM157">
        <v>23.49</v>
      </c>
      <c r="BN157">
        <v>180.11</v>
      </c>
      <c r="BO157">
        <v>180.11</v>
      </c>
      <c r="BQ157" t="s">
        <v>718</v>
      </c>
      <c r="BR157" t="s">
        <v>84</v>
      </c>
      <c r="BS157" s="3">
        <v>45882</v>
      </c>
      <c r="BT157" s="4">
        <v>0.42777777777777776</v>
      </c>
      <c r="BU157" t="s">
        <v>719</v>
      </c>
      <c r="BV157" t="s">
        <v>90</v>
      </c>
      <c r="BW157" t="s">
        <v>156</v>
      </c>
      <c r="BX157" t="s">
        <v>157</v>
      </c>
      <c r="BY157">
        <v>263648.05</v>
      </c>
      <c r="CA157" t="s">
        <v>343</v>
      </c>
      <c r="CC157" t="s">
        <v>76</v>
      </c>
      <c r="CD157">
        <v>7550</v>
      </c>
      <c r="CE157" t="s">
        <v>171</v>
      </c>
      <c r="CF157" s="3">
        <v>45883</v>
      </c>
      <c r="CI157">
        <v>1</v>
      </c>
      <c r="CJ157">
        <v>3</v>
      </c>
      <c r="CK157">
        <v>42</v>
      </c>
      <c r="CL157" t="s">
        <v>90</v>
      </c>
    </row>
    <row r="158" spans="1:90" x14ac:dyDescent="0.3">
      <c r="A158" t="s">
        <v>72</v>
      </c>
      <c r="B158" t="s">
        <v>73</v>
      </c>
      <c r="C158" t="s">
        <v>74</v>
      </c>
      <c r="E158" t="str">
        <f>"GAB2027784"</f>
        <v>GAB2027784</v>
      </c>
      <c r="F158" s="3">
        <v>45877</v>
      </c>
      <c r="G158">
        <v>202605</v>
      </c>
      <c r="H158" t="s">
        <v>75</v>
      </c>
      <c r="I158" t="s">
        <v>76</v>
      </c>
      <c r="J158" t="s">
        <v>77</v>
      </c>
      <c r="K158" t="s">
        <v>78</v>
      </c>
      <c r="L158" t="s">
        <v>118</v>
      </c>
      <c r="M158" t="s">
        <v>119</v>
      </c>
      <c r="N158" t="s">
        <v>720</v>
      </c>
      <c r="O158" t="s">
        <v>82</v>
      </c>
      <c r="P158" t="str">
        <f>"INV-00120036 CT096519         "</f>
        <v xml:space="preserve">INV-00120036 CT096519         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5.87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44.64</v>
      </c>
      <c r="AR158">
        <v>0</v>
      </c>
      <c r="AS158">
        <v>0</v>
      </c>
      <c r="AT158">
        <v>0</v>
      </c>
      <c r="AU158">
        <v>0</v>
      </c>
      <c r="AV158">
        <v>0</v>
      </c>
      <c r="AW158">
        <v>0</v>
      </c>
      <c r="AX158">
        <v>0</v>
      </c>
      <c r="AY158">
        <v>0</v>
      </c>
      <c r="AZ158">
        <v>0</v>
      </c>
      <c r="BA158">
        <v>0</v>
      </c>
      <c r="BB158">
        <v>0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1</v>
      </c>
      <c r="BI158">
        <v>4.4000000000000004</v>
      </c>
      <c r="BJ158">
        <v>6.1</v>
      </c>
      <c r="BK158">
        <v>7</v>
      </c>
      <c r="BL158">
        <v>144.49</v>
      </c>
      <c r="BM158">
        <v>21.67</v>
      </c>
      <c r="BN158">
        <v>166.16</v>
      </c>
      <c r="BO158">
        <v>166.16</v>
      </c>
      <c r="BQ158" t="s">
        <v>721</v>
      </c>
      <c r="BR158" t="s">
        <v>84</v>
      </c>
      <c r="BS158" s="3">
        <v>45880</v>
      </c>
      <c r="BT158" s="4">
        <v>0.43333333333333335</v>
      </c>
      <c r="BU158" t="s">
        <v>122</v>
      </c>
      <c r="BV158" t="s">
        <v>86</v>
      </c>
      <c r="BY158">
        <v>60743.5</v>
      </c>
      <c r="CA158" t="s">
        <v>722</v>
      </c>
      <c r="CC158" t="s">
        <v>119</v>
      </c>
      <c r="CD158" s="5" t="s">
        <v>124</v>
      </c>
      <c r="CE158" t="s">
        <v>89</v>
      </c>
      <c r="CF158" s="3">
        <v>45880</v>
      </c>
      <c r="CI158">
        <v>3</v>
      </c>
      <c r="CJ158">
        <v>1</v>
      </c>
      <c r="CK158">
        <v>41</v>
      </c>
      <c r="CL158" t="s">
        <v>90</v>
      </c>
    </row>
    <row r="159" spans="1:90" x14ac:dyDescent="0.3">
      <c r="A159" t="s">
        <v>72</v>
      </c>
      <c r="B159" t="s">
        <v>73</v>
      </c>
      <c r="C159" t="s">
        <v>74</v>
      </c>
      <c r="E159" t="str">
        <f>"GAB2027787"</f>
        <v>GAB2027787</v>
      </c>
      <c r="F159" s="3">
        <v>45877</v>
      </c>
      <c r="G159">
        <v>202605</v>
      </c>
      <c r="H159" t="s">
        <v>75</v>
      </c>
      <c r="I159" t="s">
        <v>76</v>
      </c>
      <c r="J159" t="s">
        <v>77</v>
      </c>
      <c r="K159" t="s">
        <v>78</v>
      </c>
      <c r="L159" t="s">
        <v>298</v>
      </c>
      <c r="M159" t="s">
        <v>299</v>
      </c>
      <c r="N159" t="s">
        <v>723</v>
      </c>
      <c r="O159" t="s">
        <v>82</v>
      </c>
      <c r="P159" t="str">
        <f>"INV-00120037 CT096495         "</f>
        <v xml:space="preserve">INV-00120037 CT096495         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5.87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140.13999999999999</v>
      </c>
      <c r="AR159">
        <v>0</v>
      </c>
      <c r="AS159">
        <v>0</v>
      </c>
      <c r="AT159">
        <v>0</v>
      </c>
      <c r="AU159">
        <v>0</v>
      </c>
      <c r="AV159">
        <v>0</v>
      </c>
      <c r="AW159">
        <v>0</v>
      </c>
      <c r="AX159">
        <v>0</v>
      </c>
      <c r="AY159">
        <v>0</v>
      </c>
      <c r="AZ159">
        <v>0</v>
      </c>
      <c r="BA159">
        <v>0</v>
      </c>
      <c r="BB159">
        <v>0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1</v>
      </c>
      <c r="BI159">
        <v>38.299999999999997</v>
      </c>
      <c r="BJ159">
        <v>38.5</v>
      </c>
      <c r="BK159">
        <v>39</v>
      </c>
      <c r="BL159">
        <v>441.04</v>
      </c>
      <c r="BM159">
        <v>66.16</v>
      </c>
      <c r="BN159">
        <v>507.2</v>
      </c>
      <c r="BO159">
        <v>507.2</v>
      </c>
      <c r="BQ159" t="s">
        <v>724</v>
      </c>
      <c r="BR159" t="s">
        <v>84</v>
      </c>
      <c r="BS159" s="3">
        <v>45882</v>
      </c>
      <c r="BT159" s="4">
        <v>0.51041666666666663</v>
      </c>
      <c r="BU159" t="s">
        <v>725</v>
      </c>
      <c r="BV159" t="s">
        <v>86</v>
      </c>
      <c r="BY159">
        <v>566904.38</v>
      </c>
      <c r="CA159" t="s">
        <v>726</v>
      </c>
      <c r="CC159" t="s">
        <v>299</v>
      </c>
      <c r="CD159">
        <v>8801</v>
      </c>
      <c r="CE159" t="s">
        <v>89</v>
      </c>
      <c r="CF159" s="3">
        <v>45883</v>
      </c>
      <c r="CI159">
        <v>5</v>
      </c>
      <c r="CJ159">
        <v>3</v>
      </c>
      <c r="CK159">
        <v>43</v>
      </c>
      <c r="CL159" t="s">
        <v>90</v>
      </c>
    </row>
    <row r="160" spans="1:90" x14ac:dyDescent="0.3">
      <c r="A160" t="s">
        <v>72</v>
      </c>
      <c r="B160" t="s">
        <v>73</v>
      </c>
      <c r="C160" t="s">
        <v>74</v>
      </c>
      <c r="E160" t="str">
        <f>"GAB2027788"</f>
        <v>GAB2027788</v>
      </c>
      <c r="F160" s="3">
        <v>45877</v>
      </c>
      <c r="G160">
        <v>202605</v>
      </c>
      <c r="H160" t="s">
        <v>75</v>
      </c>
      <c r="I160" t="s">
        <v>76</v>
      </c>
      <c r="J160" t="s">
        <v>77</v>
      </c>
      <c r="K160" t="s">
        <v>78</v>
      </c>
      <c r="L160" t="s">
        <v>91</v>
      </c>
      <c r="M160" t="s">
        <v>92</v>
      </c>
      <c r="N160" t="s">
        <v>727</v>
      </c>
      <c r="O160" t="s">
        <v>82</v>
      </c>
      <c r="P160" t="str">
        <f>"INV-00120040 CT095404         "</f>
        <v xml:space="preserve">INV-00120040 CT095404         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5.87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46.48</v>
      </c>
      <c r="AR160">
        <v>0</v>
      </c>
      <c r="AS160">
        <v>0</v>
      </c>
      <c r="AT160">
        <v>0</v>
      </c>
      <c r="AU160">
        <v>0</v>
      </c>
      <c r="AV160">
        <v>0</v>
      </c>
      <c r="AW160">
        <v>0</v>
      </c>
      <c r="AX160">
        <v>0</v>
      </c>
      <c r="AY160">
        <v>0</v>
      </c>
      <c r="AZ160">
        <v>0</v>
      </c>
      <c r="BA160">
        <v>0</v>
      </c>
      <c r="BB160">
        <v>0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2</v>
      </c>
      <c r="BI160">
        <v>9.6</v>
      </c>
      <c r="BJ160">
        <v>15.8</v>
      </c>
      <c r="BK160">
        <v>16</v>
      </c>
      <c r="BL160">
        <v>150.21</v>
      </c>
      <c r="BM160">
        <v>22.53</v>
      </c>
      <c r="BN160">
        <v>172.74</v>
      </c>
      <c r="BO160">
        <v>172.74</v>
      </c>
      <c r="BQ160" t="s">
        <v>728</v>
      </c>
      <c r="BR160" t="s">
        <v>84</v>
      </c>
      <c r="BS160" s="3">
        <v>45880</v>
      </c>
      <c r="BT160" s="4">
        <v>0.66666666666666663</v>
      </c>
      <c r="BU160" t="s">
        <v>729</v>
      </c>
      <c r="BV160" t="s">
        <v>86</v>
      </c>
      <c r="BY160">
        <v>119547.67</v>
      </c>
      <c r="CA160" t="s">
        <v>368</v>
      </c>
      <c r="CC160" t="s">
        <v>92</v>
      </c>
      <c r="CD160">
        <v>4001</v>
      </c>
      <c r="CE160" t="s">
        <v>89</v>
      </c>
      <c r="CF160" s="3">
        <v>45881</v>
      </c>
      <c r="CI160">
        <v>3</v>
      </c>
      <c r="CJ160">
        <v>1</v>
      </c>
      <c r="CK160">
        <v>41</v>
      </c>
      <c r="CL160" t="s">
        <v>90</v>
      </c>
    </row>
    <row r="161" spans="1:90" x14ac:dyDescent="0.3">
      <c r="A161" t="s">
        <v>72</v>
      </c>
      <c r="B161" t="s">
        <v>73</v>
      </c>
      <c r="C161" t="s">
        <v>74</v>
      </c>
      <c r="E161" t="str">
        <f>"GAB2027768"</f>
        <v>GAB2027768</v>
      </c>
      <c r="F161" s="3">
        <v>45877</v>
      </c>
      <c r="G161">
        <v>202605</v>
      </c>
      <c r="H161" t="s">
        <v>75</v>
      </c>
      <c r="I161" t="s">
        <v>76</v>
      </c>
      <c r="J161" t="s">
        <v>77</v>
      </c>
      <c r="K161" t="s">
        <v>78</v>
      </c>
      <c r="L161" t="s">
        <v>177</v>
      </c>
      <c r="M161" t="s">
        <v>178</v>
      </c>
      <c r="N161" t="s">
        <v>179</v>
      </c>
      <c r="O161" t="s">
        <v>100</v>
      </c>
      <c r="P161" t="str">
        <f>"INV-00038315 034992           "</f>
        <v xml:space="preserve">INV-00038315 034992           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115.42</v>
      </c>
      <c r="AR161">
        <v>0</v>
      </c>
      <c r="AS161">
        <v>0</v>
      </c>
      <c r="AT161">
        <v>0</v>
      </c>
      <c r="AU161">
        <v>0</v>
      </c>
      <c r="AV161">
        <v>0</v>
      </c>
      <c r="AW161">
        <v>0</v>
      </c>
      <c r="AX161">
        <v>0</v>
      </c>
      <c r="AY161">
        <v>0</v>
      </c>
      <c r="AZ161">
        <v>0</v>
      </c>
      <c r="BA161">
        <v>0</v>
      </c>
      <c r="BB161">
        <v>0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2</v>
      </c>
      <c r="BI161">
        <v>1.9</v>
      </c>
      <c r="BJ161">
        <v>5.0999999999999996</v>
      </c>
      <c r="BK161">
        <v>5.5</v>
      </c>
      <c r="BL161">
        <v>358.4</v>
      </c>
      <c r="BM161">
        <v>53.76</v>
      </c>
      <c r="BN161">
        <v>412.16</v>
      </c>
      <c r="BO161">
        <v>412.16</v>
      </c>
      <c r="BQ161" t="s">
        <v>168</v>
      </c>
      <c r="BR161" t="s">
        <v>84</v>
      </c>
      <c r="BS161" s="3">
        <v>45880</v>
      </c>
      <c r="BT161" s="4">
        <v>0.41666666666666669</v>
      </c>
      <c r="BU161" t="s">
        <v>181</v>
      </c>
      <c r="BV161" t="s">
        <v>86</v>
      </c>
      <c r="BY161">
        <v>25632.87</v>
      </c>
      <c r="BZ161" t="s">
        <v>102</v>
      </c>
      <c r="CC161" t="s">
        <v>178</v>
      </c>
      <c r="CD161">
        <v>1050</v>
      </c>
      <c r="CE161" t="s">
        <v>471</v>
      </c>
      <c r="CF161" s="3">
        <v>45881</v>
      </c>
      <c r="CI161">
        <v>1</v>
      </c>
      <c r="CJ161">
        <v>1</v>
      </c>
      <c r="CK161">
        <v>23</v>
      </c>
      <c r="CL161" t="s">
        <v>90</v>
      </c>
    </row>
    <row r="162" spans="1:90" x14ac:dyDescent="0.3">
      <c r="A162" t="s">
        <v>72</v>
      </c>
      <c r="B162" t="s">
        <v>73</v>
      </c>
      <c r="C162" t="s">
        <v>74</v>
      </c>
      <c r="E162" t="str">
        <f>"GAB2027769"</f>
        <v>GAB2027769</v>
      </c>
      <c r="F162" s="3">
        <v>45877</v>
      </c>
      <c r="G162">
        <v>202605</v>
      </c>
      <c r="H162" t="s">
        <v>75</v>
      </c>
      <c r="I162" t="s">
        <v>76</v>
      </c>
      <c r="J162" t="s">
        <v>77</v>
      </c>
      <c r="K162" t="s">
        <v>78</v>
      </c>
      <c r="L162" t="s">
        <v>579</v>
      </c>
      <c r="M162" t="s">
        <v>580</v>
      </c>
      <c r="N162" t="s">
        <v>730</v>
      </c>
      <c r="O162" t="s">
        <v>100</v>
      </c>
      <c r="P162" t="str">
        <f>"INV-00038316 035011           "</f>
        <v xml:space="preserve">INV-00038316 035011           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155.81</v>
      </c>
      <c r="AR162">
        <v>0</v>
      </c>
      <c r="AS162">
        <v>0</v>
      </c>
      <c r="AT162">
        <v>0</v>
      </c>
      <c r="AU162">
        <v>0</v>
      </c>
      <c r="AV162">
        <v>0</v>
      </c>
      <c r="AW162">
        <v>0</v>
      </c>
      <c r="AX162">
        <v>0</v>
      </c>
      <c r="AY162">
        <v>0</v>
      </c>
      <c r="AZ162">
        <v>0</v>
      </c>
      <c r="BA162">
        <v>0</v>
      </c>
      <c r="BB162">
        <v>0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2</v>
      </c>
      <c r="BI162">
        <v>2.2999999999999998</v>
      </c>
      <c r="BJ162">
        <v>7.1</v>
      </c>
      <c r="BK162">
        <v>7.5</v>
      </c>
      <c r="BL162">
        <v>483.83</v>
      </c>
      <c r="BM162">
        <v>72.569999999999993</v>
      </c>
      <c r="BN162">
        <v>556.4</v>
      </c>
      <c r="BO162">
        <v>556.4</v>
      </c>
      <c r="BQ162" t="s">
        <v>731</v>
      </c>
      <c r="BR162" t="s">
        <v>84</v>
      </c>
      <c r="BS162" s="3">
        <v>45880</v>
      </c>
      <c r="BT162" s="4">
        <v>0.5</v>
      </c>
      <c r="BU162" t="s">
        <v>732</v>
      </c>
      <c r="BV162" t="s">
        <v>86</v>
      </c>
      <c r="BY162">
        <v>35626.199999999997</v>
      </c>
      <c r="BZ162" t="s">
        <v>102</v>
      </c>
      <c r="CA162" t="s">
        <v>583</v>
      </c>
      <c r="CC162" t="s">
        <v>580</v>
      </c>
      <c r="CD162">
        <v>4450</v>
      </c>
      <c r="CE162" t="s">
        <v>733</v>
      </c>
      <c r="CF162" s="3">
        <v>45881</v>
      </c>
      <c r="CI162">
        <v>2</v>
      </c>
      <c r="CJ162">
        <v>1</v>
      </c>
      <c r="CK162">
        <v>23</v>
      </c>
      <c r="CL162" t="s">
        <v>90</v>
      </c>
    </row>
    <row r="163" spans="1:90" x14ac:dyDescent="0.3">
      <c r="A163" t="s">
        <v>72</v>
      </c>
      <c r="B163" t="s">
        <v>73</v>
      </c>
      <c r="C163" t="s">
        <v>74</v>
      </c>
      <c r="E163" t="str">
        <f>"GAB2027771"</f>
        <v>GAB2027771</v>
      </c>
      <c r="F163" s="3">
        <v>45877</v>
      </c>
      <c r="G163">
        <v>202605</v>
      </c>
      <c r="H163" t="s">
        <v>75</v>
      </c>
      <c r="I163" t="s">
        <v>76</v>
      </c>
      <c r="J163" t="s">
        <v>77</v>
      </c>
      <c r="K163" t="s">
        <v>78</v>
      </c>
      <c r="L163" t="s">
        <v>444</v>
      </c>
      <c r="M163" t="s">
        <v>445</v>
      </c>
      <c r="N163" t="s">
        <v>734</v>
      </c>
      <c r="O163" t="s">
        <v>100</v>
      </c>
      <c r="P163" t="str">
        <f>"INV-00120017 CT096535         "</f>
        <v xml:space="preserve">INV-00120017 CT096535         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75.02</v>
      </c>
      <c r="AR163">
        <v>0</v>
      </c>
      <c r="AS163">
        <v>0</v>
      </c>
      <c r="AT163">
        <v>0</v>
      </c>
      <c r="AU163">
        <v>0</v>
      </c>
      <c r="AV163">
        <v>0</v>
      </c>
      <c r="AW163">
        <v>0</v>
      </c>
      <c r="AX163">
        <v>0</v>
      </c>
      <c r="AY163">
        <v>0</v>
      </c>
      <c r="AZ163">
        <v>0</v>
      </c>
      <c r="BA163">
        <v>0</v>
      </c>
      <c r="BB163">
        <v>0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2</v>
      </c>
      <c r="BI163">
        <v>2.2000000000000002</v>
      </c>
      <c r="BJ163">
        <v>3.5</v>
      </c>
      <c r="BK163">
        <v>3.5</v>
      </c>
      <c r="BL163">
        <v>232.96</v>
      </c>
      <c r="BM163">
        <v>34.94</v>
      </c>
      <c r="BN163">
        <v>267.89999999999998</v>
      </c>
      <c r="BO163">
        <v>267.89999999999998</v>
      </c>
      <c r="BQ163" t="s">
        <v>735</v>
      </c>
      <c r="BR163" t="s">
        <v>84</v>
      </c>
      <c r="BS163" s="3">
        <v>45881</v>
      </c>
      <c r="BT163" s="4">
        <v>0.43055555555555558</v>
      </c>
      <c r="BU163" t="s">
        <v>736</v>
      </c>
      <c r="BV163" t="s">
        <v>86</v>
      </c>
      <c r="BY163">
        <v>17359.349999999999</v>
      </c>
      <c r="BZ163" t="s">
        <v>102</v>
      </c>
      <c r="CC163" t="s">
        <v>445</v>
      </c>
      <c r="CD163" s="5" t="s">
        <v>450</v>
      </c>
      <c r="CE163" t="s">
        <v>265</v>
      </c>
      <c r="CF163" s="3">
        <v>45882</v>
      </c>
      <c r="CI163">
        <v>2</v>
      </c>
      <c r="CJ163">
        <v>2</v>
      </c>
      <c r="CK163">
        <v>23</v>
      </c>
      <c r="CL163" t="s">
        <v>90</v>
      </c>
    </row>
    <row r="164" spans="1:90" x14ac:dyDescent="0.3">
      <c r="A164" t="s">
        <v>72</v>
      </c>
      <c r="B164" t="s">
        <v>73</v>
      </c>
      <c r="C164" t="s">
        <v>74</v>
      </c>
      <c r="E164" t="str">
        <f>"GAB2027774"</f>
        <v>GAB2027774</v>
      </c>
      <c r="F164" s="3">
        <v>45877</v>
      </c>
      <c r="G164">
        <v>202605</v>
      </c>
      <c r="H164" t="s">
        <v>75</v>
      </c>
      <c r="I164" t="s">
        <v>76</v>
      </c>
      <c r="J164" t="s">
        <v>77</v>
      </c>
      <c r="K164" t="s">
        <v>78</v>
      </c>
      <c r="L164" t="s">
        <v>415</v>
      </c>
      <c r="M164" t="s">
        <v>416</v>
      </c>
      <c r="N164" t="s">
        <v>737</v>
      </c>
      <c r="O164" t="s">
        <v>100</v>
      </c>
      <c r="P164" t="str">
        <f>"INV-00120022 CT096534         "</f>
        <v xml:space="preserve">INV-00120022 CT096534         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57.68</v>
      </c>
      <c r="AR164">
        <v>0</v>
      </c>
      <c r="AS164">
        <v>0</v>
      </c>
      <c r="AT164">
        <v>0</v>
      </c>
      <c r="AU164">
        <v>0</v>
      </c>
      <c r="AV164">
        <v>0</v>
      </c>
      <c r="AW164">
        <v>16.739999999999998</v>
      </c>
      <c r="AX164">
        <v>0</v>
      </c>
      <c r="AY164">
        <v>0</v>
      </c>
      <c r="AZ164">
        <v>0</v>
      </c>
      <c r="BA164">
        <v>0</v>
      </c>
      <c r="BB164">
        <v>0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2</v>
      </c>
      <c r="BI164">
        <v>1.7</v>
      </c>
      <c r="BJ164">
        <v>4.8</v>
      </c>
      <c r="BK164">
        <v>5</v>
      </c>
      <c r="BL164">
        <v>195.86</v>
      </c>
      <c r="BM164">
        <v>29.38</v>
      </c>
      <c r="BN164">
        <v>225.24</v>
      </c>
      <c r="BO164">
        <v>225.24</v>
      </c>
      <c r="BQ164" t="s">
        <v>574</v>
      </c>
      <c r="BR164" t="s">
        <v>84</v>
      </c>
      <c r="BS164" s="3">
        <v>45880</v>
      </c>
      <c r="BT164" s="4">
        <v>0.69097222222222221</v>
      </c>
      <c r="BU164" t="s">
        <v>738</v>
      </c>
      <c r="BV164" t="s">
        <v>86</v>
      </c>
      <c r="BY164">
        <v>24006</v>
      </c>
      <c r="BZ164" t="s">
        <v>320</v>
      </c>
      <c r="CA164" t="s">
        <v>739</v>
      </c>
      <c r="CC164" t="s">
        <v>416</v>
      </c>
      <c r="CD164">
        <v>1863</v>
      </c>
      <c r="CE164" t="s">
        <v>109</v>
      </c>
      <c r="CF164" s="3">
        <v>45881</v>
      </c>
      <c r="CI164">
        <v>0</v>
      </c>
      <c r="CJ164">
        <v>0</v>
      </c>
      <c r="CK164">
        <v>21</v>
      </c>
      <c r="CL164" t="s">
        <v>90</v>
      </c>
    </row>
    <row r="165" spans="1:90" x14ac:dyDescent="0.3">
      <c r="A165" t="s">
        <v>72</v>
      </c>
      <c r="B165" t="s">
        <v>73</v>
      </c>
      <c r="C165" t="s">
        <v>74</v>
      </c>
      <c r="E165" t="str">
        <f>"GAB2027776"</f>
        <v>GAB2027776</v>
      </c>
      <c r="F165" s="3">
        <v>45877</v>
      </c>
      <c r="G165">
        <v>202605</v>
      </c>
      <c r="H165" t="s">
        <v>75</v>
      </c>
      <c r="I165" t="s">
        <v>76</v>
      </c>
      <c r="J165" t="s">
        <v>77</v>
      </c>
      <c r="K165" t="s">
        <v>78</v>
      </c>
      <c r="L165" t="s">
        <v>407</v>
      </c>
      <c r="M165" t="s">
        <v>408</v>
      </c>
      <c r="N165" t="s">
        <v>409</v>
      </c>
      <c r="O165" t="s">
        <v>100</v>
      </c>
      <c r="P165" t="str">
        <f>"INV-00120027 CT096540         "</f>
        <v xml:space="preserve">INV-00120027 CT096540         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105.32</v>
      </c>
      <c r="AR165">
        <v>0</v>
      </c>
      <c r="AS165">
        <v>0</v>
      </c>
      <c r="AT165">
        <v>0</v>
      </c>
      <c r="AU165">
        <v>0</v>
      </c>
      <c r="AV165">
        <v>0</v>
      </c>
      <c r="AW165">
        <v>0</v>
      </c>
      <c r="AX165">
        <v>0</v>
      </c>
      <c r="AY165">
        <v>0</v>
      </c>
      <c r="AZ165">
        <v>0</v>
      </c>
      <c r="BA165">
        <v>0</v>
      </c>
      <c r="BB165">
        <v>0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2</v>
      </c>
      <c r="BI165">
        <v>1.7</v>
      </c>
      <c r="BJ165">
        <v>4.8</v>
      </c>
      <c r="BK165">
        <v>5</v>
      </c>
      <c r="BL165">
        <v>327.04000000000002</v>
      </c>
      <c r="BM165">
        <v>49.06</v>
      </c>
      <c r="BN165">
        <v>376.1</v>
      </c>
      <c r="BO165">
        <v>376.1</v>
      </c>
      <c r="BQ165" t="s">
        <v>523</v>
      </c>
      <c r="BR165" t="s">
        <v>84</v>
      </c>
      <c r="BS165" s="3">
        <v>45880</v>
      </c>
      <c r="BT165" s="4">
        <v>0.62986111111111109</v>
      </c>
      <c r="BU165" t="s">
        <v>740</v>
      </c>
      <c r="BV165" t="s">
        <v>86</v>
      </c>
      <c r="BY165">
        <v>24020.04</v>
      </c>
      <c r="BZ165" t="s">
        <v>102</v>
      </c>
      <c r="CA165" t="s">
        <v>525</v>
      </c>
      <c r="CC165" t="s">
        <v>408</v>
      </c>
      <c r="CD165">
        <v>4420</v>
      </c>
      <c r="CE165" t="s">
        <v>116</v>
      </c>
      <c r="CF165" s="3">
        <v>45881</v>
      </c>
      <c r="CI165">
        <v>2</v>
      </c>
      <c r="CJ165">
        <v>1</v>
      </c>
      <c r="CK165">
        <v>23</v>
      </c>
      <c r="CL165" t="s">
        <v>90</v>
      </c>
    </row>
    <row r="166" spans="1:90" x14ac:dyDescent="0.3">
      <c r="A166" t="s">
        <v>72</v>
      </c>
      <c r="B166" t="s">
        <v>73</v>
      </c>
      <c r="C166" t="s">
        <v>74</v>
      </c>
      <c r="E166" t="str">
        <f>"GAB2027777"</f>
        <v>GAB2027777</v>
      </c>
      <c r="F166" s="3">
        <v>45877</v>
      </c>
      <c r="G166">
        <v>202605</v>
      </c>
      <c r="H166" t="s">
        <v>75</v>
      </c>
      <c r="I166" t="s">
        <v>76</v>
      </c>
      <c r="J166" t="s">
        <v>77</v>
      </c>
      <c r="K166" t="s">
        <v>78</v>
      </c>
      <c r="L166" t="s">
        <v>75</v>
      </c>
      <c r="M166" t="s">
        <v>76</v>
      </c>
      <c r="N166" t="s">
        <v>243</v>
      </c>
      <c r="O166" t="s">
        <v>100</v>
      </c>
      <c r="P166" t="str">
        <f>"INV-00120028 CT096542         "</f>
        <v xml:space="preserve">INV-00120028 CT096542         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18.03</v>
      </c>
      <c r="AR166">
        <v>0</v>
      </c>
      <c r="AS166">
        <v>0</v>
      </c>
      <c r="AT166">
        <v>0</v>
      </c>
      <c r="AU166">
        <v>0</v>
      </c>
      <c r="AV166">
        <v>0</v>
      </c>
      <c r="AW166">
        <v>0</v>
      </c>
      <c r="AX166">
        <v>0</v>
      </c>
      <c r="AY166">
        <v>0</v>
      </c>
      <c r="AZ166">
        <v>0</v>
      </c>
      <c r="BA166">
        <v>0</v>
      </c>
      <c r="BB166">
        <v>0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2</v>
      </c>
      <c r="BI166">
        <v>2.2000000000000002</v>
      </c>
      <c r="BJ166">
        <v>3.4</v>
      </c>
      <c r="BK166">
        <v>4</v>
      </c>
      <c r="BL166">
        <v>55.99</v>
      </c>
      <c r="BM166">
        <v>8.4</v>
      </c>
      <c r="BN166">
        <v>64.39</v>
      </c>
      <c r="BO166">
        <v>64.39</v>
      </c>
      <c r="BQ166" t="s">
        <v>244</v>
      </c>
      <c r="BR166" t="s">
        <v>84</v>
      </c>
      <c r="BS166" s="3">
        <v>45881</v>
      </c>
      <c r="BT166" s="4">
        <v>0.41249999999999998</v>
      </c>
      <c r="BU166" t="s">
        <v>155</v>
      </c>
      <c r="BV166" t="s">
        <v>86</v>
      </c>
      <c r="BY166">
        <v>17167.3</v>
      </c>
      <c r="BZ166" t="s">
        <v>102</v>
      </c>
      <c r="CA166" t="s">
        <v>424</v>
      </c>
      <c r="CC166" t="s">
        <v>76</v>
      </c>
      <c r="CD166">
        <v>7800</v>
      </c>
      <c r="CE166" t="s">
        <v>265</v>
      </c>
      <c r="CF166" s="3">
        <v>45882</v>
      </c>
      <c r="CI166">
        <v>1</v>
      </c>
      <c r="CJ166">
        <v>2</v>
      </c>
      <c r="CK166">
        <v>22</v>
      </c>
      <c r="CL166" t="s">
        <v>90</v>
      </c>
    </row>
    <row r="167" spans="1:90" x14ac:dyDescent="0.3">
      <c r="A167" t="s">
        <v>72</v>
      </c>
      <c r="B167" t="s">
        <v>73</v>
      </c>
      <c r="C167" t="s">
        <v>74</v>
      </c>
      <c r="E167" t="str">
        <f>"GAB2027779"</f>
        <v>GAB2027779</v>
      </c>
      <c r="F167" s="3">
        <v>45877</v>
      </c>
      <c r="G167">
        <v>202605</v>
      </c>
      <c r="H167" t="s">
        <v>75</v>
      </c>
      <c r="I167" t="s">
        <v>76</v>
      </c>
      <c r="J167" t="s">
        <v>77</v>
      </c>
      <c r="K167" t="s">
        <v>78</v>
      </c>
      <c r="L167" t="s">
        <v>345</v>
      </c>
      <c r="M167" t="s">
        <v>346</v>
      </c>
      <c r="N167" t="s">
        <v>400</v>
      </c>
      <c r="O167" t="s">
        <v>100</v>
      </c>
      <c r="P167" t="str">
        <f>"INV-00038321 00038318 035101 0"</f>
        <v>INV-00038321 00038318 035101 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51.92</v>
      </c>
      <c r="AR167">
        <v>0</v>
      </c>
      <c r="AS167">
        <v>0</v>
      </c>
      <c r="AT167">
        <v>0</v>
      </c>
      <c r="AU167">
        <v>0</v>
      </c>
      <c r="AV167">
        <v>0</v>
      </c>
      <c r="AW167">
        <v>0</v>
      </c>
      <c r="AX167">
        <v>0</v>
      </c>
      <c r="AY167">
        <v>0</v>
      </c>
      <c r="AZ167">
        <v>0</v>
      </c>
      <c r="BA167">
        <v>0</v>
      </c>
      <c r="BB167">
        <v>0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2</v>
      </c>
      <c r="BI167">
        <v>1.8</v>
      </c>
      <c r="BJ167">
        <v>4.5</v>
      </c>
      <c r="BK167">
        <v>4.5</v>
      </c>
      <c r="BL167">
        <v>161.22</v>
      </c>
      <c r="BM167">
        <v>24.18</v>
      </c>
      <c r="BN167">
        <v>185.4</v>
      </c>
      <c r="BO167">
        <v>185.4</v>
      </c>
      <c r="BQ167" t="s">
        <v>681</v>
      </c>
      <c r="BR167" t="s">
        <v>84</v>
      </c>
      <c r="BS167" s="3">
        <v>45880</v>
      </c>
      <c r="BT167" s="4">
        <v>0.41736111111111113</v>
      </c>
      <c r="BU167" t="s">
        <v>741</v>
      </c>
      <c r="BV167" t="s">
        <v>86</v>
      </c>
      <c r="BY167">
        <v>22668.95</v>
      </c>
      <c r="BZ167" t="s">
        <v>102</v>
      </c>
      <c r="CC167" t="s">
        <v>346</v>
      </c>
      <c r="CD167">
        <v>9301</v>
      </c>
      <c r="CE167" t="s">
        <v>109</v>
      </c>
      <c r="CF167" s="3">
        <v>45881</v>
      </c>
      <c r="CI167">
        <v>2</v>
      </c>
      <c r="CJ167">
        <v>1</v>
      </c>
      <c r="CK167">
        <v>21</v>
      </c>
      <c r="CL167" t="s">
        <v>90</v>
      </c>
    </row>
    <row r="168" spans="1:90" x14ac:dyDescent="0.3">
      <c r="A168" t="s">
        <v>72</v>
      </c>
      <c r="B168" t="s">
        <v>73</v>
      </c>
      <c r="C168" t="s">
        <v>74</v>
      </c>
      <c r="E168" t="str">
        <f>"GAB2027780"</f>
        <v>GAB2027780</v>
      </c>
      <c r="F168" s="3">
        <v>45877</v>
      </c>
      <c r="G168">
        <v>202605</v>
      </c>
      <c r="H168" t="s">
        <v>75</v>
      </c>
      <c r="I168" t="s">
        <v>76</v>
      </c>
      <c r="J168" t="s">
        <v>77</v>
      </c>
      <c r="K168" t="s">
        <v>78</v>
      </c>
      <c r="L168" t="s">
        <v>91</v>
      </c>
      <c r="M168" t="s">
        <v>92</v>
      </c>
      <c r="N168" t="s">
        <v>742</v>
      </c>
      <c r="O168" t="s">
        <v>100</v>
      </c>
      <c r="P168" t="str">
        <f>"INV-00120032 CT096546         "</f>
        <v xml:space="preserve">INV-00120032 CT096546         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74.98</v>
      </c>
      <c r="AR168">
        <v>0</v>
      </c>
      <c r="AS168">
        <v>0</v>
      </c>
      <c r="AT168">
        <v>0</v>
      </c>
      <c r="AU168">
        <v>0</v>
      </c>
      <c r="AV168">
        <v>0</v>
      </c>
      <c r="AW168">
        <v>0</v>
      </c>
      <c r="AX168">
        <v>0</v>
      </c>
      <c r="AY168">
        <v>0</v>
      </c>
      <c r="AZ168">
        <v>0</v>
      </c>
      <c r="BA168">
        <v>0</v>
      </c>
      <c r="BB168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2</v>
      </c>
      <c r="BI168">
        <v>1.8</v>
      </c>
      <c r="BJ168">
        <v>6.5</v>
      </c>
      <c r="BK168">
        <v>6.5</v>
      </c>
      <c r="BL168">
        <v>232.84</v>
      </c>
      <c r="BM168">
        <v>34.93</v>
      </c>
      <c r="BN168">
        <v>267.77</v>
      </c>
      <c r="BO168">
        <v>267.77</v>
      </c>
      <c r="BR168" t="s">
        <v>84</v>
      </c>
      <c r="BS168" s="3">
        <v>45880</v>
      </c>
      <c r="BT168" s="4">
        <v>0.55000000000000004</v>
      </c>
      <c r="BU168" t="s">
        <v>743</v>
      </c>
      <c r="BV168" t="s">
        <v>86</v>
      </c>
      <c r="BY168">
        <v>32539.040000000001</v>
      </c>
      <c r="BZ168" t="s">
        <v>102</v>
      </c>
      <c r="CA168" t="s">
        <v>296</v>
      </c>
      <c r="CC168" t="s">
        <v>92</v>
      </c>
      <c r="CD168">
        <v>4001</v>
      </c>
      <c r="CE168" t="s">
        <v>104</v>
      </c>
      <c r="CF168" s="3">
        <v>45880</v>
      </c>
      <c r="CI168">
        <v>2</v>
      </c>
      <c r="CJ168">
        <v>1</v>
      </c>
      <c r="CK168">
        <v>21</v>
      </c>
      <c r="CL168" t="s">
        <v>90</v>
      </c>
    </row>
    <row r="169" spans="1:90" x14ac:dyDescent="0.3">
      <c r="A169" t="s">
        <v>72</v>
      </c>
      <c r="B169" t="s">
        <v>73</v>
      </c>
      <c r="C169" t="s">
        <v>74</v>
      </c>
      <c r="E169" t="str">
        <f>"GAB2027781"</f>
        <v>GAB2027781</v>
      </c>
      <c r="F169" s="3">
        <v>45877</v>
      </c>
      <c r="G169">
        <v>202605</v>
      </c>
      <c r="H169" t="s">
        <v>75</v>
      </c>
      <c r="I169" t="s">
        <v>76</v>
      </c>
      <c r="J169" t="s">
        <v>77</v>
      </c>
      <c r="K169" t="s">
        <v>78</v>
      </c>
      <c r="L169" t="s">
        <v>744</v>
      </c>
      <c r="M169" t="s">
        <v>745</v>
      </c>
      <c r="N169" t="s">
        <v>746</v>
      </c>
      <c r="O169" t="s">
        <v>100</v>
      </c>
      <c r="P169" t="str">
        <f>"INV-00038323 035001           "</f>
        <v xml:space="preserve">INV-00038323 035001           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51.92</v>
      </c>
      <c r="AR169">
        <v>0</v>
      </c>
      <c r="AS169">
        <v>0</v>
      </c>
      <c r="AT169">
        <v>0</v>
      </c>
      <c r="AU169">
        <v>0</v>
      </c>
      <c r="AV169">
        <v>0</v>
      </c>
      <c r="AW169">
        <v>0</v>
      </c>
      <c r="AX169">
        <v>0</v>
      </c>
      <c r="AY169">
        <v>0</v>
      </c>
      <c r="AZ169">
        <v>0</v>
      </c>
      <c r="BA169">
        <v>0</v>
      </c>
      <c r="BB169">
        <v>0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v>2</v>
      </c>
      <c r="BI169">
        <v>1.6</v>
      </c>
      <c r="BJ169">
        <v>4.5</v>
      </c>
      <c r="BK169">
        <v>4.5</v>
      </c>
      <c r="BL169">
        <v>161.22</v>
      </c>
      <c r="BM169">
        <v>24.18</v>
      </c>
      <c r="BN169">
        <v>185.4</v>
      </c>
      <c r="BO169">
        <v>185.4</v>
      </c>
      <c r="BQ169" t="s">
        <v>747</v>
      </c>
      <c r="BR169" t="s">
        <v>84</v>
      </c>
      <c r="BS169" s="3">
        <v>45880</v>
      </c>
      <c r="BT169" s="4">
        <v>0.69513888888888886</v>
      </c>
      <c r="BU169" t="s">
        <v>748</v>
      </c>
      <c r="BV169" t="s">
        <v>86</v>
      </c>
      <c r="BY169">
        <v>22674.3</v>
      </c>
      <c r="BZ169" t="s">
        <v>102</v>
      </c>
      <c r="CA169" t="s">
        <v>749</v>
      </c>
      <c r="CC169" t="s">
        <v>745</v>
      </c>
      <c r="CD169">
        <v>1541</v>
      </c>
      <c r="CE169" t="s">
        <v>116</v>
      </c>
      <c r="CF169" s="3">
        <v>45881</v>
      </c>
      <c r="CI169">
        <v>1</v>
      </c>
      <c r="CJ169">
        <v>1</v>
      </c>
      <c r="CK169">
        <v>21</v>
      </c>
      <c r="CL169" t="s">
        <v>90</v>
      </c>
    </row>
    <row r="170" spans="1:90" x14ac:dyDescent="0.3">
      <c r="A170" t="s">
        <v>72</v>
      </c>
      <c r="B170" t="s">
        <v>73</v>
      </c>
      <c r="C170" t="s">
        <v>74</v>
      </c>
      <c r="E170" t="str">
        <f>"GAB2027782"</f>
        <v>GAB2027782</v>
      </c>
      <c r="F170" s="3">
        <v>45877</v>
      </c>
      <c r="G170">
        <v>202605</v>
      </c>
      <c r="H170" t="s">
        <v>75</v>
      </c>
      <c r="I170" t="s">
        <v>76</v>
      </c>
      <c r="J170" t="s">
        <v>77</v>
      </c>
      <c r="K170" t="s">
        <v>78</v>
      </c>
      <c r="L170" t="s">
        <v>415</v>
      </c>
      <c r="M170" t="s">
        <v>416</v>
      </c>
      <c r="N170" t="s">
        <v>750</v>
      </c>
      <c r="O170" t="s">
        <v>100</v>
      </c>
      <c r="P170" t="str">
        <f>"INV-00120035 CT096547         "</f>
        <v xml:space="preserve">INV-00120035 CT096547         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74.98</v>
      </c>
      <c r="AR170">
        <v>0</v>
      </c>
      <c r="AS170">
        <v>0</v>
      </c>
      <c r="AT170">
        <v>0</v>
      </c>
      <c r="AU170">
        <v>0</v>
      </c>
      <c r="AV170">
        <v>0</v>
      </c>
      <c r="AW170">
        <v>0</v>
      </c>
      <c r="AX170">
        <v>0</v>
      </c>
      <c r="AY170">
        <v>0</v>
      </c>
      <c r="AZ170">
        <v>0</v>
      </c>
      <c r="BA170">
        <v>0</v>
      </c>
      <c r="BB170">
        <v>0</v>
      </c>
      <c r="BC170">
        <v>0</v>
      </c>
      <c r="BD170">
        <v>0</v>
      </c>
      <c r="BE170">
        <v>0</v>
      </c>
      <c r="BF170">
        <v>0</v>
      </c>
      <c r="BG170">
        <v>0</v>
      </c>
      <c r="BH170">
        <v>2</v>
      </c>
      <c r="BI170">
        <v>1.8</v>
      </c>
      <c r="BJ170">
        <v>6.4</v>
      </c>
      <c r="BK170">
        <v>6.5</v>
      </c>
      <c r="BL170">
        <v>232.84</v>
      </c>
      <c r="BM170">
        <v>34.93</v>
      </c>
      <c r="BN170">
        <v>267.77</v>
      </c>
      <c r="BO170">
        <v>267.77</v>
      </c>
      <c r="BR170" t="s">
        <v>84</v>
      </c>
      <c r="BS170" s="3">
        <v>45880</v>
      </c>
      <c r="BT170" s="4">
        <v>0.30902777777777779</v>
      </c>
      <c r="BU170" t="s">
        <v>751</v>
      </c>
      <c r="BV170" t="s">
        <v>86</v>
      </c>
      <c r="BY170">
        <v>31825.88</v>
      </c>
      <c r="BZ170" t="s">
        <v>102</v>
      </c>
      <c r="CA170" t="s">
        <v>676</v>
      </c>
      <c r="CC170" t="s">
        <v>416</v>
      </c>
      <c r="CD170">
        <v>2128</v>
      </c>
      <c r="CE170" t="s">
        <v>143</v>
      </c>
      <c r="CF170" s="3">
        <v>45881</v>
      </c>
      <c r="CI170">
        <v>1</v>
      </c>
      <c r="CJ170">
        <v>1</v>
      </c>
      <c r="CK170">
        <v>21</v>
      </c>
      <c r="CL170" t="s">
        <v>90</v>
      </c>
    </row>
    <row r="171" spans="1:90" x14ac:dyDescent="0.3">
      <c r="A171" t="s">
        <v>72</v>
      </c>
      <c r="B171" t="s">
        <v>73</v>
      </c>
      <c r="C171" t="s">
        <v>74</v>
      </c>
      <c r="E171" t="str">
        <f>"GAB2027785"</f>
        <v>GAB2027785</v>
      </c>
      <c r="F171" s="3">
        <v>45877</v>
      </c>
      <c r="G171">
        <v>202605</v>
      </c>
      <c r="H171" t="s">
        <v>75</v>
      </c>
      <c r="I171" t="s">
        <v>76</v>
      </c>
      <c r="J171" t="s">
        <v>77</v>
      </c>
      <c r="K171" t="s">
        <v>78</v>
      </c>
      <c r="L171" t="s">
        <v>159</v>
      </c>
      <c r="M171" t="s">
        <v>159</v>
      </c>
      <c r="N171" t="s">
        <v>160</v>
      </c>
      <c r="O171" t="s">
        <v>100</v>
      </c>
      <c r="P171" t="str">
        <f>"INV-0120038 CT096544          "</f>
        <v xml:space="preserve">INV-0120038 CT096544          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87.79</v>
      </c>
      <c r="AR171">
        <v>0</v>
      </c>
      <c r="AS171">
        <v>0</v>
      </c>
      <c r="AT171">
        <v>0</v>
      </c>
      <c r="AU171">
        <v>0</v>
      </c>
      <c r="AV171">
        <v>0</v>
      </c>
      <c r="AW171">
        <v>0</v>
      </c>
      <c r="AX171">
        <v>0</v>
      </c>
      <c r="AY171">
        <v>0</v>
      </c>
      <c r="AZ171">
        <v>0</v>
      </c>
      <c r="BA171">
        <v>0</v>
      </c>
      <c r="BB171">
        <v>0</v>
      </c>
      <c r="BC171">
        <v>0</v>
      </c>
      <c r="BD171">
        <v>0</v>
      </c>
      <c r="BE171">
        <v>0</v>
      </c>
      <c r="BF171">
        <v>0</v>
      </c>
      <c r="BG171">
        <v>0</v>
      </c>
      <c r="BH171">
        <v>2</v>
      </c>
      <c r="BI171">
        <v>2.4</v>
      </c>
      <c r="BJ171">
        <v>5.4</v>
      </c>
      <c r="BK171">
        <v>5.5</v>
      </c>
      <c r="BL171">
        <v>272.62</v>
      </c>
      <c r="BM171">
        <v>40.89</v>
      </c>
      <c r="BN171">
        <v>313.51</v>
      </c>
      <c r="BO171">
        <v>313.51</v>
      </c>
      <c r="BQ171" t="s">
        <v>161</v>
      </c>
      <c r="BR171" t="s">
        <v>84</v>
      </c>
      <c r="BS171" s="3">
        <v>45881</v>
      </c>
      <c r="BT171" s="4">
        <v>0.58333333333333337</v>
      </c>
      <c r="BU171" t="s">
        <v>588</v>
      </c>
      <c r="BV171" t="s">
        <v>90</v>
      </c>
      <c r="BW171" t="s">
        <v>156</v>
      </c>
      <c r="BX171" t="s">
        <v>752</v>
      </c>
      <c r="BY171">
        <v>27101.75</v>
      </c>
      <c r="BZ171" t="s">
        <v>102</v>
      </c>
      <c r="CC171" t="s">
        <v>159</v>
      </c>
      <c r="CD171">
        <v>7646</v>
      </c>
      <c r="CE171" t="s">
        <v>753</v>
      </c>
      <c r="CF171" s="3">
        <v>45883</v>
      </c>
      <c r="CI171">
        <v>1</v>
      </c>
      <c r="CJ171">
        <v>2</v>
      </c>
      <c r="CK171">
        <v>24</v>
      </c>
      <c r="CL171" t="s">
        <v>90</v>
      </c>
    </row>
    <row r="172" spans="1:90" x14ac:dyDescent="0.3">
      <c r="A172" t="s">
        <v>72</v>
      </c>
      <c r="B172" t="s">
        <v>73</v>
      </c>
      <c r="C172" t="s">
        <v>74</v>
      </c>
      <c r="E172" t="str">
        <f>"GAB2027786"</f>
        <v>GAB2027786</v>
      </c>
      <c r="F172" s="3">
        <v>45877</v>
      </c>
      <c r="G172">
        <v>202605</v>
      </c>
      <c r="H172" t="s">
        <v>75</v>
      </c>
      <c r="I172" t="s">
        <v>76</v>
      </c>
      <c r="J172" t="s">
        <v>77</v>
      </c>
      <c r="K172" t="s">
        <v>78</v>
      </c>
      <c r="L172" t="s">
        <v>184</v>
      </c>
      <c r="M172" t="s">
        <v>185</v>
      </c>
      <c r="N172" t="s">
        <v>240</v>
      </c>
      <c r="O172" t="s">
        <v>100</v>
      </c>
      <c r="P172" t="str">
        <f>"INV-00120039 CT096549         "</f>
        <v xml:space="preserve">INV-00120039 CT096549         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80.75</v>
      </c>
      <c r="AR172">
        <v>0</v>
      </c>
      <c r="AS172">
        <v>0</v>
      </c>
      <c r="AT172">
        <v>0</v>
      </c>
      <c r="AU172">
        <v>0</v>
      </c>
      <c r="AV172">
        <v>0</v>
      </c>
      <c r="AW172">
        <v>0</v>
      </c>
      <c r="AX172">
        <v>0</v>
      </c>
      <c r="AY172">
        <v>0</v>
      </c>
      <c r="AZ172">
        <v>0</v>
      </c>
      <c r="BA172">
        <v>0</v>
      </c>
      <c r="BB172">
        <v>0</v>
      </c>
      <c r="BC172">
        <v>0</v>
      </c>
      <c r="BD172">
        <v>0</v>
      </c>
      <c r="BE172">
        <v>0</v>
      </c>
      <c r="BF172">
        <v>0</v>
      </c>
      <c r="BG172">
        <v>0</v>
      </c>
      <c r="BH172">
        <v>2</v>
      </c>
      <c r="BI172">
        <v>1.9</v>
      </c>
      <c r="BJ172">
        <v>6.7</v>
      </c>
      <c r="BK172">
        <v>7</v>
      </c>
      <c r="BL172">
        <v>250.75</v>
      </c>
      <c r="BM172">
        <v>37.61</v>
      </c>
      <c r="BN172">
        <v>288.36</v>
      </c>
      <c r="BO172">
        <v>288.36</v>
      </c>
      <c r="BR172" t="s">
        <v>84</v>
      </c>
      <c r="BS172" s="3">
        <v>45880</v>
      </c>
      <c r="BT172" s="4">
        <v>0.3263888888888889</v>
      </c>
      <c r="BU172" t="s">
        <v>241</v>
      </c>
      <c r="BV172" t="s">
        <v>86</v>
      </c>
      <c r="BY172">
        <v>33476.120000000003</v>
      </c>
      <c r="BZ172" t="s">
        <v>102</v>
      </c>
      <c r="CA172" t="s">
        <v>242</v>
      </c>
      <c r="CC172" t="s">
        <v>185</v>
      </c>
      <c r="CD172">
        <v>1724</v>
      </c>
      <c r="CE172" t="s">
        <v>104</v>
      </c>
      <c r="CF172" s="3">
        <v>45880</v>
      </c>
      <c r="CI172">
        <v>1</v>
      </c>
      <c r="CJ172">
        <v>1</v>
      </c>
      <c r="CK172">
        <v>21</v>
      </c>
      <c r="CL172" t="s">
        <v>90</v>
      </c>
    </row>
    <row r="173" spans="1:90" x14ac:dyDescent="0.3">
      <c r="A173" t="s">
        <v>72</v>
      </c>
      <c r="B173" t="s">
        <v>73</v>
      </c>
      <c r="C173" t="s">
        <v>74</v>
      </c>
      <c r="E173" t="str">
        <f>"009940256355"</f>
        <v>009940256355</v>
      </c>
      <c r="F173" s="3">
        <v>45877</v>
      </c>
      <c r="G173">
        <v>202605</v>
      </c>
      <c r="H173" t="s">
        <v>75</v>
      </c>
      <c r="I173" t="s">
        <v>76</v>
      </c>
      <c r="J173" t="s">
        <v>257</v>
      </c>
      <c r="K173" t="s">
        <v>78</v>
      </c>
      <c r="L173" t="s">
        <v>754</v>
      </c>
      <c r="M173" t="s">
        <v>755</v>
      </c>
      <c r="N173" t="s">
        <v>756</v>
      </c>
      <c r="O173" t="s">
        <v>757</v>
      </c>
      <c r="P173" t="str">
        <f>"NA                            "</f>
        <v xml:space="preserve">NA                            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209.34</v>
      </c>
      <c r="AR173">
        <v>0</v>
      </c>
      <c r="AS173">
        <v>0</v>
      </c>
      <c r="AT173">
        <v>0</v>
      </c>
      <c r="AU173">
        <v>0</v>
      </c>
      <c r="AV173">
        <v>0</v>
      </c>
      <c r="AW173">
        <v>0</v>
      </c>
      <c r="AX173">
        <v>0</v>
      </c>
      <c r="AY173">
        <v>88.14</v>
      </c>
      <c r="AZ173">
        <v>0</v>
      </c>
      <c r="BA173">
        <v>0</v>
      </c>
      <c r="BB173">
        <v>0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1</v>
      </c>
      <c r="BI173">
        <v>1.9</v>
      </c>
      <c r="BJ173">
        <v>6.6</v>
      </c>
      <c r="BK173">
        <v>7</v>
      </c>
      <c r="BL173">
        <v>738.19</v>
      </c>
      <c r="BM173">
        <v>0</v>
      </c>
      <c r="BN173">
        <v>738.19</v>
      </c>
      <c r="BO173">
        <v>738.19</v>
      </c>
      <c r="BQ173" t="s">
        <v>355</v>
      </c>
      <c r="BR173" t="s">
        <v>491</v>
      </c>
      <c r="BS173" s="3">
        <v>45883</v>
      </c>
      <c r="BT173" s="4">
        <v>5.5555555555555558E-3</v>
      </c>
      <c r="BU173" t="s">
        <v>758</v>
      </c>
      <c r="BW173" t="s">
        <v>759</v>
      </c>
      <c r="BX173" t="s">
        <v>760</v>
      </c>
      <c r="BY173">
        <v>32791.5</v>
      </c>
      <c r="BZ173" t="s">
        <v>761</v>
      </c>
      <c r="CC173" t="s">
        <v>755</v>
      </c>
      <c r="CD173" t="s">
        <v>762</v>
      </c>
      <c r="CE173" t="s">
        <v>176</v>
      </c>
      <c r="CF173" s="3">
        <v>45895</v>
      </c>
      <c r="CI173">
        <v>0</v>
      </c>
      <c r="CJ173">
        <v>0</v>
      </c>
      <c r="CK173">
        <v>1821</v>
      </c>
      <c r="CL173" t="s">
        <v>90</v>
      </c>
    </row>
    <row r="174" spans="1:90" x14ac:dyDescent="0.3">
      <c r="A174" t="s">
        <v>72</v>
      </c>
      <c r="B174" t="s">
        <v>73</v>
      </c>
      <c r="C174" t="s">
        <v>74</v>
      </c>
      <c r="E174" t="str">
        <f>"009945156770"</f>
        <v>009945156770</v>
      </c>
      <c r="F174" s="3">
        <v>45880</v>
      </c>
      <c r="G174">
        <v>202605</v>
      </c>
      <c r="H174" t="s">
        <v>79</v>
      </c>
      <c r="I174" t="s">
        <v>80</v>
      </c>
      <c r="J174" t="s">
        <v>257</v>
      </c>
      <c r="K174" t="s">
        <v>78</v>
      </c>
      <c r="L174" t="s">
        <v>518</v>
      </c>
      <c r="M174" t="s">
        <v>519</v>
      </c>
      <c r="N174" t="s">
        <v>763</v>
      </c>
      <c r="O174" t="s">
        <v>100</v>
      </c>
      <c r="P174" t="str">
        <f>"NO REF                        "</f>
        <v xml:space="preserve">NO REF                        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34.619999999999997</v>
      </c>
      <c r="AR174">
        <v>0</v>
      </c>
      <c r="AS174">
        <v>0</v>
      </c>
      <c r="AT174">
        <v>0</v>
      </c>
      <c r="AU174">
        <v>0</v>
      </c>
      <c r="AV174">
        <v>0</v>
      </c>
      <c r="AW174">
        <v>0</v>
      </c>
      <c r="AX174">
        <v>0</v>
      </c>
      <c r="AY174">
        <v>0</v>
      </c>
      <c r="AZ174">
        <v>0</v>
      </c>
      <c r="BA174">
        <v>0</v>
      </c>
      <c r="BB174">
        <v>0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1</v>
      </c>
      <c r="BI174">
        <v>3</v>
      </c>
      <c r="BJ174">
        <v>2.2999999999999998</v>
      </c>
      <c r="BK174">
        <v>3</v>
      </c>
      <c r="BL174">
        <v>107.5</v>
      </c>
      <c r="BM174">
        <v>16.13</v>
      </c>
      <c r="BN174">
        <v>123.63</v>
      </c>
      <c r="BO174">
        <v>123.63</v>
      </c>
      <c r="BQ174" t="s">
        <v>764</v>
      </c>
      <c r="BR174" t="s">
        <v>608</v>
      </c>
      <c r="BS174" s="3">
        <v>45881</v>
      </c>
      <c r="BT174" s="4">
        <v>0.61875000000000002</v>
      </c>
      <c r="BU174" t="s">
        <v>765</v>
      </c>
      <c r="BV174" t="s">
        <v>90</v>
      </c>
      <c r="BY174">
        <v>11700</v>
      </c>
      <c r="BZ174" t="s">
        <v>102</v>
      </c>
      <c r="CA174" t="s">
        <v>559</v>
      </c>
      <c r="CC174" t="s">
        <v>519</v>
      </c>
      <c r="CD174">
        <v>5213</v>
      </c>
      <c r="CE174" t="s">
        <v>493</v>
      </c>
      <c r="CF174" s="3">
        <v>45881</v>
      </c>
      <c r="CI174">
        <v>1</v>
      </c>
      <c r="CJ174">
        <v>1</v>
      </c>
      <c r="CK174">
        <v>21</v>
      </c>
      <c r="CL174" t="s">
        <v>90</v>
      </c>
    </row>
    <row r="175" spans="1:90" x14ac:dyDescent="0.3">
      <c r="A175" t="s">
        <v>72</v>
      </c>
      <c r="B175" t="s">
        <v>73</v>
      </c>
      <c r="C175" t="s">
        <v>74</v>
      </c>
      <c r="E175" t="str">
        <f>"009945156774"</f>
        <v>009945156774</v>
      </c>
      <c r="F175" s="3">
        <v>45880</v>
      </c>
      <c r="G175">
        <v>202605</v>
      </c>
      <c r="H175" t="s">
        <v>79</v>
      </c>
      <c r="I175" t="s">
        <v>80</v>
      </c>
      <c r="J175" t="s">
        <v>257</v>
      </c>
      <c r="K175" t="s">
        <v>78</v>
      </c>
      <c r="L175" t="s">
        <v>345</v>
      </c>
      <c r="M175" t="s">
        <v>346</v>
      </c>
      <c r="N175" t="s">
        <v>257</v>
      </c>
      <c r="O175" t="s">
        <v>100</v>
      </c>
      <c r="P175" t="str">
        <f>"NO REF                        "</f>
        <v xml:space="preserve">NO REF                        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34.619999999999997</v>
      </c>
      <c r="AR175">
        <v>0</v>
      </c>
      <c r="AS175">
        <v>0</v>
      </c>
      <c r="AT175">
        <v>0</v>
      </c>
      <c r="AU175">
        <v>0</v>
      </c>
      <c r="AV175">
        <v>0</v>
      </c>
      <c r="AW175">
        <v>0</v>
      </c>
      <c r="AX175">
        <v>0</v>
      </c>
      <c r="AY175">
        <v>0</v>
      </c>
      <c r="AZ175">
        <v>0</v>
      </c>
      <c r="BA175">
        <v>0</v>
      </c>
      <c r="BB175">
        <v>0</v>
      </c>
      <c r="BC175">
        <v>0</v>
      </c>
      <c r="BD175">
        <v>0</v>
      </c>
      <c r="BE175">
        <v>0</v>
      </c>
      <c r="BF175">
        <v>0</v>
      </c>
      <c r="BG175">
        <v>0</v>
      </c>
      <c r="BH175">
        <v>1</v>
      </c>
      <c r="BI175">
        <v>3</v>
      </c>
      <c r="BJ175">
        <v>2.2999999999999998</v>
      </c>
      <c r="BK175">
        <v>3</v>
      </c>
      <c r="BL175">
        <v>107.5</v>
      </c>
      <c r="BM175">
        <v>16.13</v>
      </c>
      <c r="BN175">
        <v>123.63</v>
      </c>
      <c r="BO175">
        <v>123.63</v>
      </c>
      <c r="BQ175" t="s">
        <v>348</v>
      </c>
      <c r="BR175" t="s">
        <v>608</v>
      </c>
      <c r="BS175" s="3">
        <v>45888</v>
      </c>
      <c r="BT175" s="4">
        <v>0.39583333333333331</v>
      </c>
      <c r="BU175" t="s">
        <v>599</v>
      </c>
      <c r="BV175" t="s">
        <v>90</v>
      </c>
      <c r="BW175" t="s">
        <v>589</v>
      </c>
      <c r="BX175" t="s">
        <v>600</v>
      </c>
      <c r="BY175">
        <v>11700</v>
      </c>
      <c r="BZ175" t="s">
        <v>102</v>
      </c>
      <c r="CC175" t="s">
        <v>346</v>
      </c>
      <c r="CD175">
        <v>9301</v>
      </c>
      <c r="CE175" t="s">
        <v>493</v>
      </c>
      <c r="CF175" s="3">
        <v>45889</v>
      </c>
      <c r="CI175">
        <v>1</v>
      </c>
      <c r="CJ175">
        <v>6</v>
      </c>
      <c r="CK175">
        <v>21</v>
      </c>
      <c r="CL175" t="s">
        <v>90</v>
      </c>
    </row>
    <row r="176" spans="1:90" x14ac:dyDescent="0.3">
      <c r="A176" t="s">
        <v>72</v>
      </c>
      <c r="B176" t="s">
        <v>73</v>
      </c>
      <c r="C176" t="s">
        <v>74</v>
      </c>
      <c r="E176" t="str">
        <f>"009945156775"</f>
        <v>009945156775</v>
      </c>
      <c r="F176" s="3">
        <v>45880</v>
      </c>
      <c r="G176">
        <v>202605</v>
      </c>
      <c r="H176" t="s">
        <v>79</v>
      </c>
      <c r="I176" t="s">
        <v>80</v>
      </c>
      <c r="J176" t="s">
        <v>257</v>
      </c>
      <c r="K176" t="s">
        <v>78</v>
      </c>
      <c r="L176" t="s">
        <v>75</v>
      </c>
      <c r="M176" t="s">
        <v>76</v>
      </c>
      <c r="N176" t="s">
        <v>766</v>
      </c>
      <c r="O176" t="s">
        <v>100</v>
      </c>
      <c r="P176" t="str">
        <f>"NO REF                        "</f>
        <v xml:space="preserve">NO REF                        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23.09</v>
      </c>
      <c r="AR176">
        <v>0</v>
      </c>
      <c r="AS176">
        <v>0</v>
      </c>
      <c r="AT176">
        <v>0</v>
      </c>
      <c r="AU176">
        <v>0</v>
      </c>
      <c r="AV176">
        <v>0</v>
      </c>
      <c r="AW176">
        <v>0</v>
      </c>
      <c r="AX176">
        <v>0</v>
      </c>
      <c r="AY176">
        <v>0</v>
      </c>
      <c r="AZ176">
        <v>0</v>
      </c>
      <c r="BA176">
        <v>0</v>
      </c>
      <c r="BB176">
        <v>0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1</v>
      </c>
      <c r="BI176">
        <v>1</v>
      </c>
      <c r="BJ176">
        <v>0.2</v>
      </c>
      <c r="BK176">
        <v>1</v>
      </c>
      <c r="BL176">
        <v>71.69</v>
      </c>
      <c r="BM176">
        <v>10.75</v>
      </c>
      <c r="BN176">
        <v>82.44</v>
      </c>
      <c r="BO176">
        <v>82.44</v>
      </c>
      <c r="BQ176" t="s">
        <v>767</v>
      </c>
      <c r="BR176" t="s">
        <v>608</v>
      </c>
      <c r="BS176" s="3">
        <v>45882</v>
      </c>
      <c r="BT176" s="4">
        <v>0.37708333333333333</v>
      </c>
      <c r="BU176" t="s">
        <v>768</v>
      </c>
      <c r="BV176" t="s">
        <v>90</v>
      </c>
      <c r="BW176" t="s">
        <v>156</v>
      </c>
      <c r="BX176" t="s">
        <v>690</v>
      </c>
      <c r="BY176">
        <v>1200</v>
      </c>
      <c r="BZ176" t="s">
        <v>102</v>
      </c>
      <c r="CA176" t="s">
        <v>769</v>
      </c>
      <c r="CC176" t="s">
        <v>76</v>
      </c>
      <c r="CD176">
        <v>8001</v>
      </c>
      <c r="CE176" t="s">
        <v>493</v>
      </c>
      <c r="CF176" s="3">
        <v>45884</v>
      </c>
      <c r="CI176">
        <v>1</v>
      </c>
      <c r="CJ176">
        <v>2</v>
      </c>
      <c r="CK176">
        <v>21</v>
      </c>
      <c r="CL176" t="s">
        <v>90</v>
      </c>
    </row>
    <row r="177" spans="1:90" x14ac:dyDescent="0.3">
      <c r="A177" t="s">
        <v>72</v>
      </c>
      <c r="B177" t="s">
        <v>73</v>
      </c>
      <c r="C177" t="s">
        <v>74</v>
      </c>
      <c r="E177" t="str">
        <f>"009945156777"</f>
        <v>009945156777</v>
      </c>
      <c r="F177" s="3">
        <v>45880</v>
      </c>
      <c r="G177">
        <v>202605</v>
      </c>
      <c r="H177" t="s">
        <v>79</v>
      </c>
      <c r="I177" t="s">
        <v>80</v>
      </c>
      <c r="J177" t="s">
        <v>257</v>
      </c>
      <c r="K177" t="s">
        <v>78</v>
      </c>
      <c r="L177" t="s">
        <v>75</v>
      </c>
      <c r="M177" t="s">
        <v>76</v>
      </c>
      <c r="N177" t="s">
        <v>257</v>
      </c>
      <c r="O177" t="s">
        <v>100</v>
      </c>
      <c r="P177" t="str">
        <f>"NO REF                        "</f>
        <v xml:space="preserve">NO REF                        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69.22</v>
      </c>
      <c r="AR177">
        <v>0</v>
      </c>
      <c r="AS177">
        <v>0</v>
      </c>
      <c r="AT177">
        <v>0</v>
      </c>
      <c r="AU177">
        <v>0</v>
      </c>
      <c r="AV177">
        <v>0</v>
      </c>
      <c r="AW177">
        <v>0</v>
      </c>
      <c r="AX177">
        <v>0</v>
      </c>
      <c r="AY177">
        <v>0</v>
      </c>
      <c r="AZ177">
        <v>0</v>
      </c>
      <c r="BA177">
        <v>0</v>
      </c>
      <c r="BB177">
        <v>0</v>
      </c>
      <c r="BC177">
        <v>0</v>
      </c>
      <c r="BD177">
        <v>0</v>
      </c>
      <c r="BE177">
        <v>0</v>
      </c>
      <c r="BF177">
        <v>0</v>
      </c>
      <c r="BG177">
        <v>0</v>
      </c>
      <c r="BH177">
        <v>1</v>
      </c>
      <c r="BI177">
        <v>1.9</v>
      </c>
      <c r="BJ177">
        <v>5.9</v>
      </c>
      <c r="BK177">
        <v>6</v>
      </c>
      <c r="BL177">
        <v>214.94</v>
      </c>
      <c r="BM177">
        <v>32.24</v>
      </c>
      <c r="BN177">
        <v>247.18</v>
      </c>
      <c r="BO177">
        <v>247.18</v>
      </c>
      <c r="BQ177" t="s">
        <v>770</v>
      </c>
      <c r="BR177" t="s">
        <v>608</v>
      </c>
      <c r="BS177" s="3">
        <v>45881</v>
      </c>
      <c r="BT177" s="4">
        <v>0.48749999999999999</v>
      </c>
      <c r="BU177" t="s">
        <v>771</v>
      </c>
      <c r="BV177" t="s">
        <v>90</v>
      </c>
      <c r="BW177" t="s">
        <v>772</v>
      </c>
      <c r="BX177" t="s">
        <v>773</v>
      </c>
      <c r="BY177">
        <v>29700</v>
      </c>
      <c r="BZ177" t="s">
        <v>102</v>
      </c>
      <c r="CA177" t="s">
        <v>351</v>
      </c>
      <c r="CC177" t="s">
        <v>76</v>
      </c>
      <c r="CD177">
        <v>8000</v>
      </c>
      <c r="CE177" t="s">
        <v>493</v>
      </c>
      <c r="CF177" s="3">
        <v>45882</v>
      </c>
      <c r="CI177">
        <v>1</v>
      </c>
      <c r="CJ177">
        <v>1</v>
      </c>
      <c r="CK177">
        <v>21</v>
      </c>
      <c r="CL177" t="s">
        <v>90</v>
      </c>
    </row>
    <row r="178" spans="1:90" x14ac:dyDescent="0.3">
      <c r="A178" t="s">
        <v>72</v>
      </c>
      <c r="B178" t="s">
        <v>73</v>
      </c>
      <c r="C178" t="s">
        <v>74</v>
      </c>
      <c r="E178" t="str">
        <f>"GAB2027799"</f>
        <v>GAB2027799</v>
      </c>
      <c r="F178" s="3">
        <v>45880</v>
      </c>
      <c r="G178">
        <v>202605</v>
      </c>
      <c r="H178" t="s">
        <v>75</v>
      </c>
      <c r="I178" t="s">
        <v>76</v>
      </c>
      <c r="J178" t="s">
        <v>77</v>
      </c>
      <c r="K178" t="s">
        <v>78</v>
      </c>
      <c r="L178" t="s">
        <v>159</v>
      </c>
      <c r="M178" t="s">
        <v>159</v>
      </c>
      <c r="N178" t="s">
        <v>160</v>
      </c>
      <c r="O178" t="s">
        <v>82</v>
      </c>
      <c r="P178" t="str">
        <f>"00120055 096551               "</f>
        <v xml:space="preserve">00120055 096551               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5.87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49.3</v>
      </c>
      <c r="AR178">
        <v>0</v>
      </c>
      <c r="AS178">
        <v>0</v>
      </c>
      <c r="AT178">
        <v>0</v>
      </c>
      <c r="AU178">
        <v>0</v>
      </c>
      <c r="AV178">
        <v>0</v>
      </c>
      <c r="AW178">
        <v>0</v>
      </c>
      <c r="AX178">
        <v>0</v>
      </c>
      <c r="AY178">
        <v>0</v>
      </c>
      <c r="AZ178">
        <v>0</v>
      </c>
      <c r="BA178">
        <v>0</v>
      </c>
      <c r="BB178">
        <v>0</v>
      </c>
      <c r="BC178">
        <v>0</v>
      </c>
      <c r="BD178">
        <v>0</v>
      </c>
      <c r="BE178">
        <v>0</v>
      </c>
      <c r="BF178">
        <v>0</v>
      </c>
      <c r="BG178">
        <v>0</v>
      </c>
      <c r="BH178">
        <v>1</v>
      </c>
      <c r="BI178">
        <v>1</v>
      </c>
      <c r="BJ178">
        <v>2.4</v>
      </c>
      <c r="BK178">
        <v>3</v>
      </c>
      <c r="BL178">
        <v>158.96</v>
      </c>
      <c r="BM178">
        <v>23.84</v>
      </c>
      <c r="BN178">
        <v>182.8</v>
      </c>
      <c r="BO178">
        <v>182.8</v>
      </c>
      <c r="BQ178" t="s">
        <v>362</v>
      </c>
      <c r="BR178" t="s">
        <v>84</v>
      </c>
      <c r="BS178" s="3">
        <v>45880</v>
      </c>
      <c r="BT178" s="4">
        <v>0.41666666666666669</v>
      </c>
      <c r="BU178" t="s">
        <v>774</v>
      </c>
      <c r="BV178" t="s">
        <v>86</v>
      </c>
      <c r="BY178">
        <v>12000</v>
      </c>
      <c r="CC178" t="s">
        <v>159</v>
      </c>
      <c r="CD178">
        <v>7646</v>
      </c>
      <c r="CE178" t="s">
        <v>775</v>
      </c>
      <c r="CF178" s="3">
        <v>45889</v>
      </c>
      <c r="CI178">
        <v>0</v>
      </c>
      <c r="CJ178">
        <v>0</v>
      </c>
      <c r="CK178">
        <v>44</v>
      </c>
      <c r="CL178" t="s">
        <v>90</v>
      </c>
    </row>
    <row r="179" spans="1:90" x14ac:dyDescent="0.3">
      <c r="A179" t="s">
        <v>72</v>
      </c>
      <c r="B179" t="s">
        <v>73</v>
      </c>
      <c r="C179" t="s">
        <v>74</v>
      </c>
      <c r="E179" t="str">
        <f>"GAB2027800"</f>
        <v>GAB2027800</v>
      </c>
      <c r="F179" s="3">
        <v>45880</v>
      </c>
      <c r="G179">
        <v>202605</v>
      </c>
      <c r="H179" t="s">
        <v>75</v>
      </c>
      <c r="I179" t="s">
        <v>76</v>
      </c>
      <c r="J179" t="s">
        <v>77</v>
      </c>
      <c r="K179" t="s">
        <v>78</v>
      </c>
      <c r="L179" t="s">
        <v>545</v>
      </c>
      <c r="M179" t="s">
        <v>546</v>
      </c>
      <c r="N179" t="s">
        <v>776</v>
      </c>
      <c r="O179" t="s">
        <v>82</v>
      </c>
      <c r="P179" t="str">
        <f>"00120060 096079               "</f>
        <v xml:space="preserve">00120060 096079               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5.87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46.48</v>
      </c>
      <c r="AR179">
        <v>0</v>
      </c>
      <c r="AS179">
        <v>0</v>
      </c>
      <c r="AT179">
        <v>0</v>
      </c>
      <c r="AU179">
        <v>0</v>
      </c>
      <c r="AV179">
        <v>0</v>
      </c>
      <c r="AW179">
        <v>0</v>
      </c>
      <c r="AX179">
        <v>0</v>
      </c>
      <c r="AY179">
        <v>0</v>
      </c>
      <c r="AZ179">
        <v>0</v>
      </c>
      <c r="BA179">
        <v>0</v>
      </c>
      <c r="BB179">
        <v>0</v>
      </c>
      <c r="BC179">
        <v>0</v>
      </c>
      <c r="BD179">
        <v>0</v>
      </c>
      <c r="BE179">
        <v>0</v>
      </c>
      <c r="BF179">
        <v>0</v>
      </c>
      <c r="BG179">
        <v>0</v>
      </c>
      <c r="BH179">
        <v>2</v>
      </c>
      <c r="BI179">
        <v>6.9</v>
      </c>
      <c r="BJ179">
        <v>15.8</v>
      </c>
      <c r="BK179">
        <v>16</v>
      </c>
      <c r="BL179">
        <v>150.21</v>
      </c>
      <c r="BM179">
        <v>22.53</v>
      </c>
      <c r="BN179">
        <v>172.74</v>
      </c>
      <c r="BO179">
        <v>172.74</v>
      </c>
      <c r="BR179" t="s">
        <v>84</v>
      </c>
      <c r="BS179" s="3">
        <v>45882</v>
      </c>
      <c r="BT179" s="4">
        <v>0.40277777777777779</v>
      </c>
      <c r="BU179" t="s">
        <v>777</v>
      </c>
      <c r="BV179" t="s">
        <v>86</v>
      </c>
      <c r="BY179">
        <v>78827.5</v>
      </c>
      <c r="CA179" t="s">
        <v>778</v>
      </c>
      <c r="CC179" t="s">
        <v>546</v>
      </c>
      <c r="CD179">
        <v>1686</v>
      </c>
      <c r="CE179" t="s">
        <v>775</v>
      </c>
      <c r="CF179" s="3">
        <v>45883</v>
      </c>
      <c r="CI179">
        <v>2</v>
      </c>
      <c r="CJ179">
        <v>2</v>
      </c>
      <c r="CK179">
        <v>41</v>
      </c>
      <c r="CL179" t="s">
        <v>90</v>
      </c>
    </row>
    <row r="180" spans="1:90" x14ac:dyDescent="0.3">
      <c r="A180" t="s">
        <v>72</v>
      </c>
      <c r="B180" t="s">
        <v>73</v>
      </c>
      <c r="C180" t="s">
        <v>74</v>
      </c>
      <c r="E180" t="str">
        <f>"GAB2027802"</f>
        <v>GAB2027802</v>
      </c>
      <c r="F180" s="3">
        <v>45880</v>
      </c>
      <c r="G180">
        <v>202605</v>
      </c>
      <c r="H180" t="s">
        <v>75</v>
      </c>
      <c r="I180" t="s">
        <v>76</v>
      </c>
      <c r="J180" t="s">
        <v>77</v>
      </c>
      <c r="K180" t="s">
        <v>78</v>
      </c>
      <c r="L180" t="s">
        <v>91</v>
      </c>
      <c r="M180" t="s">
        <v>92</v>
      </c>
      <c r="N180" t="s">
        <v>779</v>
      </c>
      <c r="O180" t="s">
        <v>82</v>
      </c>
      <c r="P180" t="str">
        <f>"00120056 096552               "</f>
        <v xml:space="preserve">00120056 096552               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5.87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110.99</v>
      </c>
      <c r="AR180">
        <v>0</v>
      </c>
      <c r="AS180">
        <v>0</v>
      </c>
      <c r="AT180">
        <v>0</v>
      </c>
      <c r="AU180">
        <v>0</v>
      </c>
      <c r="AV180">
        <v>0</v>
      </c>
      <c r="AW180">
        <v>0</v>
      </c>
      <c r="AX180">
        <v>0</v>
      </c>
      <c r="AY180">
        <v>0</v>
      </c>
      <c r="AZ180">
        <v>0</v>
      </c>
      <c r="BA180">
        <v>0</v>
      </c>
      <c r="BB180">
        <v>0</v>
      </c>
      <c r="BC180">
        <v>0</v>
      </c>
      <c r="BD180">
        <v>0</v>
      </c>
      <c r="BE180">
        <v>0</v>
      </c>
      <c r="BF180">
        <v>0</v>
      </c>
      <c r="BG180">
        <v>0</v>
      </c>
      <c r="BH180">
        <v>4</v>
      </c>
      <c r="BI180">
        <v>18.600000000000001</v>
      </c>
      <c r="BJ180">
        <v>51</v>
      </c>
      <c r="BK180">
        <v>51</v>
      </c>
      <c r="BL180">
        <v>350.52</v>
      </c>
      <c r="BM180">
        <v>52.58</v>
      </c>
      <c r="BN180">
        <v>403.1</v>
      </c>
      <c r="BO180">
        <v>403.1</v>
      </c>
      <c r="BQ180" t="s">
        <v>780</v>
      </c>
      <c r="BR180" t="s">
        <v>84</v>
      </c>
      <c r="BS180" s="3">
        <v>45882</v>
      </c>
      <c r="BT180" s="4">
        <v>0.61458333333333337</v>
      </c>
      <c r="BU180" t="s">
        <v>781</v>
      </c>
      <c r="BV180" t="s">
        <v>86</v>
      </c>
      <c r="BY180">
        <v>190834.5</v>
      </c>
      <c r="CC180" t="s">
        <v>92</v>
      </c>
      <c r="CD180">
        <v>4001</v>
      </c>
      <c r="CE180" t="s">
        <v>782</v>
      </c>
      <c r="CF180" s="3">
        <v>45883</v>
      </c>
      <c r="CI180">
        <v>3</v>
      </c>
      <c r="CJ180">
        <v>2</v>
      </c>
      <c r="CK180">
        <v>41</v>
      </c>
      <c r="CL180" t="s">
        <v>90</v>
      </c>
    </row>
    <row r="181" spans="1:90" x14ac:dyDescent="0.3">
      <c r="A181" t="s">
        <v>72</v>
      </c>
      <c r="B181" t="s">
        <v>73</v>
      </c>
      <c r="C181" t="s">
        <v>74</v>
      </c>
      <c r="E181" t="str">
        <f>"GAB2027804"</f>
        <v>GAB2027804</v>
      </c>
      <c r="F181" s="3">
        <v>45880</v>
      </c>
      <c r="G181">
        <v>202605</v>
      </c>
      <c r="H181" t="s">
        <v>75</v>
      </c>
      <c r="I181" t="s">
        <v>76</v>
      </c>
      <c r="J181" t="s">
        <v>77</v>
      </c>
      <c r="K181" t="s">
        <v>78</v>
      </c>
      <c r="L181" t="s">
        <v>148</v>
      </c>
      <c r="M181" t="s">
        <v>149</v>
      </c>
      <c r="N181" t="s">
        <v>783</v>
      </c>
      <c r="O181" t="s">
        <v>82</v>
      </c>
      <c r="P181" t="str">
        <f>"00038372 035339               "</f>
        <v xml:space="preserve">00038372 035339               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5.87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66.760000000000005</v>
      </c>
      <c r="AR181">
        <v>0</v>
      </c>
      <c r="AS181">
        <v>0</v>
      </c>
      <c r="AT181">
        <v>0</v>
      </c>
      <c r="AU181">
        <v>0</v>
      </c>
      <c r="AV181">
        <v>0</v>
      </c>
      <c r="AW181">
        <v>0</v>
      </c>
      <c r="AX181">
        <v>0</v>
      </c>
      <c r="AY181">
        <v>0</v>
      </c>
      <c r="AZ181">
        <v>0</v>
      </c>
      <c r="BA181">
        <v>0</v>
      </c>
      <c r="BB181">
        <v>0</v>
      </c>
      <c r="BC181">
        <v>0</v>
      </c>
      <c r="BD181">
        <v>0</v>
      </c>
      <c r="BE181">
        <v>0</v>
      </c>
      <c r="BF181">
        <v>0</v>
      </c>
      <c r="BG181">
        <v>0</v>
      </c>
      <c r="BH181">
        <v>2</v>
      </c>
      <c r="BI181">
        <v>15</v>
      </c>
      <c r="BJ181">
        <v>26.4</v>
      </c>
      <c r="BK181">
        <v>27</v>
      </c>
      <c r="BL181">
        <v>213.17</v>
      </c>
      <c r="BM181">
        <v>31.98</v>
      </c>
      <c r="BN181">
        <v>245.15</v>
      </c>
      <c r="BO181">
        <v>245.15</v>
      </c>
      <c r="BR181" t="s">
        <v>84</v>
      </c>
      <c r="BS181" t="s">
        <v>176</v>
      </c>
      <c r="BY181">
        <v>131946</v>
      </c>
      <c r="CC181" t="s">
        <v>149</v>
      </c>
      <c r="CD181">
        <v>6001</v>
      </c>
      <c r="CE181" t="s">
        <v>784</v>
      </c>
      <c r="CI181">
        <v>3</v>
      </c>
      <c r="CJ181" t="s">
        <v>176</v>
      </c>
      <c r="CK181">
        <v>41</v>
      </c>
      <c r="CL181" t="s">
        <v>90</v>
      </c>
    </row>
    <row r="182" spans="1:90" x14ac:dyDescent="0.3">
      <c r="A182" t="s">
        <v>72</v>
      </c>
      <c r="B182" t="s">
        <v>73</v>
      </c>
      <c r="C182" t="s">
        <v>74</v>
      </c>
      <c r="E182" t="str">
        <f>"GAB2027807"</f>
        <v>GAB2027807</v>
      </c>
      <c r="F182" s="3">
        <v>45880</v>
      </c>
      <c r="G182">
        <v>202605</v>
      </c>
      <c r="H182" t="s">
        <v>75</v>
      </c>
      <c r="I182" t="s">
        <v>76</v>
      </c>
      <c r="J182" t="s">
        <v>77</v>
      </c>
      <c r="K182" t="s">
        <v>78</v>
      </c>
      <c r="L182" t="s">
        <v>226</v>
      </c>
      <c r="M182" t="s">
        <v>227</v>
      </c>
      <c r="N182" t="s">
        <v>785</v>
      </c>
      <c r="O182" t="s">
        <v>82</v>
      </c>
      <c r="P182" t="str">
        <f>"00120063 096570               "</f>
        <v xml:space="preserve">00120063 096570               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5.87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61.23</v>
      </c>
      <c r="AR182">
        <v>0</v>
      </c>
      <c r="AS182">
        <v>0</v>
      </c>
      <c r="AT182">
        <v>0</v>
      </c>
      <c r="AU182">
        <v>0</v>
      </c>
      <c r="AV182">
        <v>0</v>
      </c>
      <c r="AW182">
        <v>0</v>
      </c>
      <c r="AX182">
        <v>0</v>
      </c>
      <c r="AY182">
        <v>0</v>
      </c>
      <c r="AZ182">
        <v>0</v>
      </c>
      <c r="BA182">
        <v>0</v>
      </c>
      <c r="BB182">
        <v>0</v>
      </c>
      <c r="BC182">
        <v>0</v>
      </c>
      <c r="BD182">
        <v>0</v>
      </c>
      <c r="BE182">
        <v>0</v>
      </c>
      <c r="BF182">
        <v>0</v>
      </c>
      <c r="BG182">
        <v>0</v>
      </c>
      <c r="BH182">
        <v>2</v>
      </c>
      <c r="BI182">
        <v>12.6</v>
      </c>
      <c r="BJ182">
        <v>23.9</v>
      </c>
      <c r="BK182">
        <v>24</v>
      </c>
      <c r="BL182">
        <v>196</v>
      </c>
      <c r="BM182">
        <v>29.4</v>
      </c>
      <c r="BN182">
        <v>225.4</v>
      </c>
      <c r="BO182">
        <v>225.4</v>
      </c>
      <c r="BQ182" t="s">
        <v>786</v>
      </c>
      <c r="BR182" t="s">
        <v>84</v>
      </c>
      <c r="BS182" s="3">
        <v>45883</v>
      </c>
      <c r="BT182" s="4">
        <v>0.33333333333333331</v>
      </c>
      <c r="BU182" t="s">
        <v>787</v>
      </c>
      <c r="BV182" t="s">
        <v>86</v>
      </c>
      <c r="BY182">
        <v>119559</v>
      </c>
      <c r="CA182" t="s">
        <v>788</v>
      </c>
      <c r="CC182" t="s">
        <v>227</v>
      </c>
      <c r="CD182">
        <v>3610</v>
      </c>
      <c r="CE182" t="s">
        <v>171</v>
      </c>
      <c r="CI182">
        <v>3</v>
      </c>
      <c r="CJ182">
        <v>3</v>
      </c>
      <c r="CK182">
        <v>41</v>
      </c>
      <c r="CL182" t="s">
        <v>90</v>
      </c>
    </row>
    <row r="183" spans="1:90" x14ac:dyDescent="0.3">
      <c r="A183" t="s">
        <v>72</v>
      </c>
      <c r="B183" t="s">
        <v>73</v>
      </c>
      <c r="C183" t="s">
        <v>74</v>
      </c>
      <c r="E183" t="str">
        <f>"GAB2027810"</f>
        <v>GAB2027810</v>
      </c>
      <c r="F183" s="3">
        <v>45880</v>
      </c>
      <c r="G183">
        <v>202605</v>
      </c>
      <c r="H183" t="s">
        <v>75</v>
      </c>
      <c r="I183" t="s">
        <v>76</v>
      </c>
      <c r="J183" t="s">
        <v>77</v>
      </c>
      <c r="K183" t="s">
        <v>78</v>
      </c>
      <c r="L183" t="s">
        <v>148</v>
      </c>
      <c r="M183" t="s">
        <v>149</v>
      </c>
      <c r="N183" t="s">
        <v>783</v>
      </c>
      <c r="O183" t="s">
        <v>82</v>
      </c>
      <c r="P183" t="str">
        <f>"00038372 035339               "</f>
        <v xml:space="preserve">00038372 035339               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5.87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151.53</v>
      </c>
      <c r="AR183">
        <v>0</v>
      </c>
      <c r="AS183">
        <v>0</v>
      </c>
      <c r="AT183">
        <v>0</v>
      </c>
      <c r="AU183">
        <v>0</v>
      </c>
      <c r="AV183">
        <v>0</v>
      </c>
      <c r="AW183">
        <v>0</v>
      </c>
      <c r="AX183">
        <v>0</v>
      </c>
      <c r="AY183">
        <v>0</v>
      </c>
      <c r="AZ183">
        <v>0</v>
      </c>
      <c r="BA183">
        <v>0</v>
      </c>
      <c r="BB183">
        <v>0</v>
      </c>
      <c r="BC183">
        <v>0</v>
      </c>
      <c r="BD183">
        <v>0</v>
      </c>
      <c r="BE183">
        <v>0</v>
      </c>
      <c r="BF183">
        <v>0</v>
      </c>
      <c r="BG183">
        <v>0</v>
      </c>
      <c r="BH183">
        <v>4</v>
      </c>
      <c r="BI183">
        <v>36.700000000000003</v>
      </c>
      <c r="BJ183">
        <v>72.7</v>
      </c>
      <c r="BK183">
        <v>73</v>
      </c>
      <c r="BL183">
        <v>476.42</v>
      </c>
      <c r="BM183">
        <v>71.459999999999994</v>
      </c>
      <c r="BN183">
        <v>547.88</v>
      </c>
      <c r="BO183">
        <v>547.88</v>
      </c>
      <c r="BR183" t="s">
        <v>84</v>
      </c>
      <c r="BS183" s="3">
        <v>45887</v>
      </c>
      <c r="BT183" s="4">
        <v>0.38194444444444442</v>
      </c>
      <c r="BU183" t="s">
        <v>789</v>
      </c>
      <c r="BV183" t="s">
        <v>90</v>
      </c>
      <c r="BW183" t="s">
        <v>294</v>
      </c>
      <c r="BX183" t="s">
        <v>790</v>
      </c>
      <c r="BY183">
        <v>363742.25</v>
      </c>
      <c r="CA183" t="s">
        <v>791</v>
      </c>
      <c r="CC183" t="s">
        <v>149</v>
      </c>
      <c r="CD183">
        <v>6001</v>
      </c>
      <c r="CE183" t="s">
        <v>171</v>
      </c>
      <c r="CF183" s="3">
        <v>45887</v>
      </c>
      <c r="CI183">
        <v>3</v>
      </c>
      <c r="CJ183">
        <v>5</v>
      </c>
      <c r="CK183">
        <v>41</v>
      </c>
      <c r="CL183" t="s">
        <v>90</v>
      </c>
    </row>
    <row r="184" spans="1:90" x14ac:dyDescent="0.3">
      <c r="A184" t="s">
        <v>72</v>
      </c>
      <c r="B184" t="s">
        <v>73</v>
      </c>
      <c r="C184" t="s">
        <v>74</v>
      </c>
      <c r="E184" t="str">
        <f>"GAB2027789"</f>
        <v>GAB2027789</v>
      </c>
      <c r="F184" s="3">
        <v>45880</v>
      </c>
      <c r="G184">
        <v>202605</v>
      </c>
      <c r="H184" t="s">
        <v>75</v>
      </c>
      <c r="I184" t="s">
        <v>76</v>
      </c>
      <c r="J184" t="s">
        <v>77</v>
      </c>
      <c r="K184" t="s">
        <v>78</v>
      </c>
      <c r="L184" t="s">
        <v>407</v>
      </c>
      <c r="M184" t="s">
        <v>408</v>
      </c>
      <c r="N184" t="s">
        <v>792</v>
      </c>
      <c r="O184" t="s">
        <v>100</v>
      </c>
      <c r="P184" t="str">
        <f>"00120054 096561               "</f>
        <v xml:space="preserve">00120054 096561               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95.22</v>
      </c>
      <c r="AR184">
        <v>0</v>
      </c>
      <c r="AS184">
        <v>0</v>
      </c>
      <c r="AT184">
        <v>0</v>
      </c>
      <c r="AU184">
        <v>0</v>
      </c>
      <c r="AV184">
        <v>0</v>
      </c>
      <c r="AW184">
        <v>0</v>
      </c>
      <c r="AX184">
        <v>0</v>
      </c>
      <c r="AY184">
        <v>0</v>
      </c>
      <c r="AZ184">
        <v>0</v>
      </c>
      <c r="BA184">
        <v>0</v>
      </c>
      <c r="BB184">
        <v>0</v>
      </c>
      <c r="BC184">
        <v>0</v>
      </c>
      <c r="BD184">
        <v>0</v>
      </c>
      <c r="BE184">
        <v>0</v>
      </c>
      <c r="BF184">
        <v>0</v>
      </c>
      <c r="BG184">
        <v>0</v>
      </c>
      <c r="BH184">
        <v>2</v>
      </c>
      <c r="BI184">
        <v>1.7</v>
      </c>
      <c r="BJ184">
        <v>4.4000000000000004</v>
      </c>
      <c r="BK184">
        <v>4.5</v>
      </c>
      <c r="BL184">
        <v>295.68</v>
      </c>
      <c r="BM184">
        <v>44.35</v>
      </c>
      <c r="BN184">
        <v>340.03</v>
      </c>
      <c r="BO184">
        <v>340.03</v>
      </c>
      <c r="BQ184" t="s">
        <v>793</v>
      </c>
      <c r="BR184" t="s">
        <v>84</v>
      </c>
      <c r="BS184" s="3">
        <v>45882</v>
      </c>
      <c r="BT184" s="4">
        <v>0.63541666666666663</v>
      </c>
      <c r="BU184" t="s">
        <v>794</v>
      </c>
      <c r="BV184" t="s">
        <v>90</v>
      </c>
      <c r="BW184" t="s">
        <v>294</v>
      </c>
      <c r="BX184" t="s">
        <v>412</v>
      </c>
      <c r="BY184">
        <v>22042.41</v>
      </c>
      <c r="BZ184" t="s">
        <v>102</v>
      </c>
      <c r="CA184" t="s">
        <v>795</v>
      </c>
      <c r="CC184" t="s">
        <v>408</v>
      </c>
      <c r="CD184">
        <v>4400</v>
      </c>
      <c r="CE184" t="s">
        <v>686</v>
      </c>
      <c r="CF184" s="3">
        <v>45883</v>
      </c>
      <c r="CI184">
        <v>2</v>
      </c>
      <c r="CJ184">
        <v>2</v>
      </c>
      <c r="CK184">
        <v>23</v>
      </c>
      <c r="CL184" t="s">
        <v>90</v>
      </c>
    </row>
    <row r="185" spans="1:90" x14ac:dyDescent="0.3">
      <c r="A185" t="s">
        <v>72</v>
      </c>
      <c r="B185" t="s">
        <v>73</v>
      </c>
      <c r="C185" t="s">
        <v>74</v>
      </c>
      <c r="E185" t="str">
        <f>"GAB2027790"</f>
        <v>GAB2027790</v>
      </c>
      <c r="F185" s="3">
        <v>45880</v>
      </c>
      <c r="G185">
        <v>202605</v>
      </c>
      <c r="H185" t="s">
        <v>75</v>
      </c>
      <c r="I185" t="s">
        <v>76</v>
      </c>
      <c r="J185" t="s">
        <v>77</v>
      </c>
      <c r="K185" t="s">
        <v>78</v>
      </c>
      <c r="L185" t="s">
        <v>79</v>
      </c>
      <c r="M185" t="s">
        <v>80</v>
      </c>
      <c r="N185" t="s">
        <v>635</v>
      </c>
      <c r="O185" t="s">
        <v>100</v>
      </c>
      <c r="P185" t="str">
        <f>"00120053 096559               "</f>
        <v xml:space="preserve">00120053 096559               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74.98</v>
      </c>
      <c r="AR185">
        <v>0</v>
      </c>
      <c r="AS185">
        <v>0</v>
      </c>
      <c r="AT185">
        <v>0</v>
      </c>
      <c r="AU185">
        <v>0</v>
      </c>
      <c r="AV185">
        <v>0</v>
      </c>
      <c r="AW185">
        <v>16.739999999999998</v>
      </c>
      <c r="AX185">
        <v>0</v>
      </c>
      <c r="AY185">
        <v>0</v>
      </c>
      <c r="AZ185">
        <v>0</v>
      </c>
      <c r="BA185">
        <v>0</v>
      </c>
      <c r="BB185">
        <v>0</v>
      </c>
      <c r="BC185">
        <v>0</v>
      </c>
      <c r="BD185">
        <v>0</v>
      </c>
      <c r="BE185">
        <v>0</v>
      </c>
      <c r="BF185">
        <v>0</v>
      </c>
      <c r="BG185">
        <v>0</v>
      </c>
      <c r="BH185">
        <v>2</v>
      </c>
      <c r="BI185">
        <v>1.8</v>
      </c>
      <c r="BJ185">
        <v>6.4</v>
      </c>
      <c r="BK185">
        <v>6.5</v>
      </c>
      <c r="BL185">
        <v>249.58</v>
      </c>
      <c r="BM185">
        <v>37.44</v>
      </c>
      <c r="BN185">
        <v>287.02</v>
      </c>
      <c r="BO185">
        <v>287.02</v>
      </c>
      <c r="BQ185" t="s">
        <v>796</v>
      </c>
      <c r="BR185" t="s">
        <v>84</v>
      </c>
      <c r="BS185" s="3">
        <v>45881</v>
      </c>
      <c r="BT185" s="4">
        <v>0.66180555555555554</v>
      </c>
      <c r="BU185" t="s">
        <v>637</v>
      </c>
      <c r="BV185" t="s">
        <v>86</v>
      </c>
      <c r="BY185">
        <v>32075.7</v>
      </c>
      <c r="BZ185" t="s">
        <v>320</v>
      </c>
      <c r="CA185" t="s">
        <v>638</v>
      </c>
      <c r="CC185" t="s">
        <v>80</v>
      </c>
      <c r="CD185" s="5" t="s">
        <v>639</v>
      </c>
      <c r="CE185" t="s">
        <v>797</v>
      </c>
      <c r="CF185" s="3">
        <v>45882</v>
      </c>
      <c r="CI185">
        <v>1</v>
      </c>
      <c r="CJ185">
        <v>1</v>
      </c>
      <c r="CK185">
        <v>21</v>
      </c>
      <c r="CL185" t="s">
        <v>90</v>
      </c>
    </row>
    <row r="186" spans="1:90" x14ac:dyDescent="0.3">
      <c r="A186" t="s">
        <v>72</v>
      </c>
      <c r="B186" t="s">
        <v>73</v>
      </c>
      <c r="C186" t="s">
        <v>74</v>
      </c>
      <c r="E186" t="str">
        <f>"GAB2027791"</f>
        <v>GAB2027791</v>
      </c>
      <c r="F186" s="3">
        <v>45880</v>
      </c>
      <c r="G186">
        <v>202605</v>
      </c>
      <c r="H186" t="s">
        <v>75</v>
      </c>
      <c r="I186" t="s">
        <v>76</v>
      </c>
      <c r="J186" t="s">
        <v>77</v>
      </c>
      <c r="K186" t="s">
        <v>78</v>
      </c>
      <c r="L186" t="s">
        <v>407</v>
      </c>
      <c r="M186" t="s">
        <v>408</v>
      </c>
      <c r="N186" t="s">
        <v>409</v>
      </c>
      <c r="O186" t="s">
        <v>100</v>
      </c>
      <c r="P186" t="str">
        <f>"00120052 096558               "</f>
        <v xml:space="preserve">00120052 096558               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95.22</v>
      </c>
      <c r="AR186">
        <v>0</v>
      </c>
      <c r="AS186">
        <v>0</v>
      </c>
      <c r="AT186">
        <v>0</v>
      </c>
      <c r="AU186">
        <v>0</v>
      </c>
      <c r="AV186">
        <v>0</v>
      </c>
      <c r="AW186">
        <v>0</v>
      </c>
      <c r="AX186">
        <v>0</v>
      </c>
      <c r="AY186">
        <v>0</v>
      </c>
      <c r="AZ186">
        <v>0</v>
      </c>
      <c r="BA186">
        <v>0</v>
      </c>
      <c r="BB186">
        <v>0</v>
      </c>
      <c r="BC186">
        <v>0</v>
      </c>
      <c r="BD186">
        <v>0</v>
      </c>
      <c r="BE186">
        <v>0</v>
      </c>
      <c r="BF186">
        <v>0</v>
      </c>
      <c r="BG186">
        <v>0</v>
      </c>
      <c r="BH186">
        <v>2</v>
      </c>
      <c r="BI186">
        <v>1.8</v>
      </c>
      <c r="BJ186">
        <v>4.4000000000000004</v>
      </c>
      <c r="BK186">
        <v>4.5</v>
      </c>
      <c r="BL186">
        <v>295.68</v>
      </c>
      <c r="BM186">
        <v>44.35</v>
      </c>
      <c r="BN186">
        <v>340.03</v>
      </c>
      <c r="BO186">
        <v>340.03</v>
      </c>
      <c r="BQ186" t="s">
        <v>410</v>
      </c>
      <c r="BR186" t="s">
        <v>84</v>
      </c>
      <c r="BS186" s="3">
        <v>45883</v>
      </c>
      <c r="BT186" s="4">
        <v>0.57361111111111107</v>
      </c>
      <c r="BU186" t="s">
        <v>410</v>
      </c>
      <c r="BV186" t="s">
        <v>90</v>
      </c>
      <c r="BW186" t="s">
        <v>294</v>
      </c>
      <c r="BX186" t="s">
        <v>432</v>
      </c>
      <c r="BY186">
        <v>21853.200000000001</v>
      </c>
      <c r="BZ186" t="s">
        <v>102</v>
      </c>
      <c r="CA186" t="s">
        <v>525</v>
      </c>
      <c r="CC186" t="s">
        <v>408</v>
      </c>
      <c r="CD186">
        <v>4420</v>
      </c>
      <c r="CE186" t="s">
        <v>686</v>
      </c>
      <c r="CF186" s="3">
        <v>45883</v>
      </c>
      <c r="CI186">
        <v>2</v>
      </c>
      <c r="CJ186">
        <v>3</v>
      </c>
      <c r="CK186">
        <v>23</v>
      </c>
      <c r="CL186" t="s">
        <v>90</v>
      </c>
    </row>
    <row r="187" spans="1:90" x14ac:dyDescent="0.3">
      <c r="A187" t="s">
        <v>72</v>
      </c>
      <c r="B187" t="s">
        <v>73</v>
      </c>
      <c r="C187" t="s">
        <v>74</v>
      </c>
      <c r="E187" t="str">
        <f>"GAB2027792"</f>
        <v>GAB2027792</v>
      </c>
      <c r="F187" s="3">
        <v>45880</v>
      </c>
      <c r="G187">
        <v>202605</v>
      </c>
      <c r="H187" t="s">
        <v>75</v>
      </c>
      <c r="I187" t="s">
        <v>76</v>
      </c>
      <c r="J187" t="s">
        <v>77</v>
      </c>
      <c r="K187" t="s">
        <v>78</v>
      </c>
      <c r="L187" t="s">
        <v>666</v>
      </c>
      <c r="M187" t="s">
        <v>667</v>
      </c>
      <c r="N187" t="s">
        <v>798</v>
      </c>
      <c r="O187" t="s">
        <v>100</v>
      </c>
      <c r="P187" t="str">
        <f>"00120046 096554               "</f>
        <v xml:space="preserve">00120046 096554               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57.68</v>
      </c>
      <c r="AR187">
        <v>0</v>
      </c>
      <c r="AS187">
        <v>0</v>
      </c>
      <c r="AT187">
        <v>0</v>
      </c>
      <c r="AU187">
        <v>0</v>
      </c>
      <c r="AV187">
        <v>0</v>
      </c>
      <c r="AW187">
        <v>0</v>
      </c>
      <c r="AX187">
        <v>0</v>
      </c>
      <c r="AY187">
        <v>0</v>
      </c>
      <c r="AZ187">
        <v>0</v>
      </c>
      <c r="BA187">
        <v>0</v>
      </c>
      <c r="BB187">
        <v>0</v>
      </c>
      <c r="BC187">
        <v>0</v>
      </c>
      <c r="BD187">
        <v>0</v>
      </c>
      <c r="BE187">
        <v>0</v>
      </c>
      <c r="BF187">
        <v>0</v>
      </c>
      <c r="BG187">
        <v>0</v>
      </c>
      <c r="BH187">
        <v>2</v>
      </c>
      <c r="BI187">
        <v>3.7</v>
      </c>
      <c r="BJ187">
        <v>5</v>
      </c>
      <c r="BK187">
        <v>5</v>
      </c>
      <c r="BL187">
        <v>179.12</v>
      </c>
      <c r="BM187">
        <v>26.87</v>
      </c>
      <c r="BN187">
        <v>205.99</v>
      </c>
      <c r="BO187">
        <v>205.99</v>
      </c>
      <c r="BQ187" t="s">
        <v>799</v>
      </c>
      <c r="BR187" t="s">
        <v>84</v>
      </c>
      <c r="BS187" s="3">
        <v>45881</v>
      </c>
      <c r="BT187" s="4">
        <v>0.4201388888888889</v>
      </c>
      <c r="BU187" t="s">
        <v>800</v>
      </c>
      <c r="BV187" t="s">
        <v>86</v>
      </c>
      <c r="BY187">
        <v>25108.3</v>
      </c>
      <c r="BZ187" t="s">
        <v>102</v>
      </c>
      <c r="CA187" t="s">
        <v>420</v>
      </c>
      <c r="CC187" t="s">
        <v>667</v>
      </c>
      <c r="CD187">
        <v>2194</v>
      </c>
      <c r="CE187" t="s">
        <v>801</v>
      </c>
      <c r="CF187" s="3">
        <v>45882</v>
      </c>
      <c r="CI187">
        <v>1</v>
      </c>
      <c r="CJ187">
        <v>1</v>
      </c>
      <c r="CK187">
        <v>21</v>
      </c>
      <c r="CL187" t="s">
        <v>90</v>
      </c>
    </row>
    <row r="188" spans="1:90" x14ac:dyDescent="0.3">
      <c r="A188" t="s">
        <v>72</v>
      </c>
      <c r="B188" t="s">
        <v>73</v>
      </c>
      <c r="C188" t="s">
        <v>74</v>
      </c>
      <c r="E188" t="str">
        <f>"GAB2027793"</f>
        <v>GAB2027793</v>
      </c>
      <c r="F188" s="3">
        <v>45880</v>
      </c>
      <c r="G188">
        <v>202605</v>
      </c>
      <c r="H188" t="s">
        <v>75</v>
      </c>
      <c r="I188" t="s">
        <v>76</v>
      </c>
      <c r="J188" t="s">
        <v>77</v>
      </c>
      <c r="K188" t="s">
        <v>78</v>
      </c>
      <c r="L188" t="s">
        <v>75</v>
      </c>
      <c r="M188" t="s">
        <v>76</v>
      </c>
      <c r="N188" t="s">
        <v>802</v>
      </c>
      <c r="O188" t="s">
        <v>100</v>
      </c>
      <c r="P188" t="str">
        <f>"00120045 096553               "</f>
        <v xml:space="preserve">00120045 096553               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18.03</v>
      </c>
      <c r="AR188">
        <v>0</v>
      </c>
      <c r="AS188">
        <v>0</v>
      </c>
      <c r="AT188">
        <v>0</v>
      </c>
      <c r="AU188">
        <v>0</v>
      </c>
      <c r="AV188">
        <v>0</v>
      </c>
      <c r="AW188">
        <v>0</v>
      </c>
      <c r="AX188">
        <v>0</v>
      </c>
      <c r="AY188">
        <v>0</v>
      </c>
      <c r="AZ188">
        <v>0</v>
      </c>
      <c r="BA188">
        <v>0</v>
      </c>
      <c r="BB188">
        <v>0</v>
      </c>
      <c r="BC188">
        <v>0</v>
      </c>
      <c r="BD188">
        <v>0</v>
      </c>
      <c r="BE188">
        <v>0</v>
      </c>
      <c r="BF188">
        <v>0</v>
      </c>
      <c r="BG188">
        <v>0</v>
      </c>
      <c r="BH188">
        <v>1</v>
      </c>
      <c r="BI188">
        <v>1</v>
      </c>
      <c r="BJ188">
        <v>2.4</v>
      </c>
      <c r="BK188">
        <v>3</v>
      </c>
      <c r="BL188">
        <v>55.99</v>
      </c>
      <c r="BM188">
        <v>8.4</v>
      </c>
      <c r="BN188">
        <v>64.39</v>
      </c>
      <c r="BO188">
        <v>64.39</v>
      </c>
      <c r="BQ188" t="s">
        <v>803</v>
      </c>
      <c r="BR188" t="s">
        <v>84</v>
      </c>
      <c r="BS188" s="3">
        <v>45880</v>
      </c>
      <c r="BT188" s="4">
        <v>0.41666666666666669</v>
      </c>
      <c r="BU188" t="s">
        <v>804</v>
      </c>
      <c r="BV188" t="s">
        <v>86</v>
      </c>
      <c r="BY188">
        <v>12000</v>
      </c>
      <c r="CC188" t="s">
        <v>76</v>
      </c>
      <c r="CD188">
        <v>8001</v>
      </c>
      <c r="CE188" t="s">
        <v>686</v>
      </c>
      <c r="CF188" s="3">
        <v>45889</v>
      </c>
      <c r="CI188">
        <v>1</v>
      </c>
      <c r="CJ188">
        <v>0</v>
      </c>
      <c r="CK188">
        <v>22</v>
      </c>
      <c r="CL188" t="s">
        <v>90</v>
      </c>
    </row>
    <row r="189" spans="1:90" x14ac:dyDescent="0.3">
      <c r="A189" t="s">
        <v>72</v>
      </c>
      <c r="B189" t="s">
        <v>73</v>
      </c>
      <c r="C189" t="s">
        <v>74</v>
      </c>
      <c r="E189" t="str">
        <f>"GAB2027795"</f>
        <v>GAB2027795</v>
      </c>
      <c r="F189" s="3">
        <v>45880</v>
      </c>
      <c r="G189">
        <v>202605</v>
      </c>
      <c r="H189" t="s">
        <v>75</v>
      </c>
      <c r="I189" t="s">
        <v>76</v>
      </c>
      <c r="J189" t="s">
        <v>77</v>
      </c>
      <c r="K189" t="s">
        <v>78</v>
      </c>
      <c r="L189" t="s">
        <v>165</v>
      </c>
      <c r="M189" t="s">
        <v>166</v>
      </c>
      <c r="N189" t="s">
        <v>805</v>
      </c>
      <c r="O189" t="s">
        <v>100</v>
      </c>
      <c r="P189" t="str">
        <f>"00120041 096550               "</f>
        <v xml:space="preserve">00120041 096550               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105.32</v>
      </c>
      <c r="AR189">
        <v>0</v>
      </c>
      <c r="AS189">
        <v>0</v>
      </c>
      <c r="AT189">
        <v>0</v>
      </c>
      <c r="AU189">
        <v>0</v>
      </c>
      <c r="AV189">
        <v>0</v>
      </c>
      <c r="AW189">
        <v>16.739999999999998</v>
      </c>
      <c r="AX189">
        <v>0</v>
      </c>
      <c r="AY189">
        <v>0</v>
      </c>
      <c r="AZ189">
        <v>0</v>
      </c>
      <c r="BA189">
        <v>0</v>
      </c>
      <c r="BB189">
        <v>0</v>
      </c>
      <c r="BC189">
        <v>0</v>
      </c>
      <c r="BD189">
        <v>0</v>
      </c>
      <c r="BE189">
        <v>0</v>
      </c>
      <c r="BF189">
        <v>0</v>
      </c>
      <c r="BG189">
        <v>0</v>
      </c>
      <c r="BH189">
        <v>2</v>
      </c>
      <c r="BI189">
        <v>1.8</v>
      </c>
      <c r="BJ189">
        <v>4.5999999999999996</v>
      </c>
      <c r="BK189">
        <v>5</v>
      </c>
      <c r="BL189">
        <v>343.78</v>
      </c>
      <c r="BM189">
        <v>51.57</v>
      </c>
      <c r="BN189">
        <v>395.35</v>
      </c>
      <c r="BO189">
        <v>395.35</v>
      </c>
      <c r="BQ189" t="s">
        <v>806</v>
      </c>
      <c r="BR189" t="s">
        <v>84</v>
      </c>
      <c r="BS189" s="3">
        <v>45882</v>
      </c>
      <c r="BT189" s="4">
        <v>0.39374999999999999</v>
      </c>
      <c r="BU189" t="s">
        <v>807</v>
      </c>
      <c r="BV189" t="s">
        <v>86</v>
      </c>
      <c r="BY189">
        <v>22939.68</v>
      </c>
      <c r="BZ189" t="s">
        <v>320</v>
      </c>
      <c r="CC189" t="s">
        <v>166</v>
      </c>
      <c r="CD189">
        <v>2745</v>
      </c>
      <c r="CE189" t="s">
        <v>808</v>
      </c>
      <c r="CF189" s="3">
        <v>45883</v>
      </c>
      <c r="CI189">
        <v>2</v>
      </c>
      <c r="CJ189">
        <v>2</v>
      </c>
      <c r="CK189">
        <v>23</v>
      </c>
      <c r="CL189" t="s">
        <v>90</v>
      </c>
    </row>
    <row r="190" spans="1:90" x14ac:dyDescent="0.3">
      <c r="A190" t="s">
        <v>72</v>
      </c>
      <c r="B190" t="s">
        <v>73</v>
      </c>
      <c r="C190" t="s">
        <v>74</v>
      </c>
      <c r="E190" t="str">
        <f>"GAB2027798"</f>
        <v>GAB2027798</v>
      </c>
      <c r="F190" s="3">
        <v>45880</v>
      </c>
      <c r="G190">
        <v>202605</v>
      </c>
      <c r="H190" t="s">
        <v>75</v>
      </c>
      <c r="I190" t="s">
        <v>76</v>
      </c>
      <c r="J190" t="s">
        <v>77</v>
      </c>
      <c r="K190" t="s">
        <v>78</v>
      </c>
      <c r="L190" t="s">
        <v>809</v>
      </c>
      <c r="M190" t="s">
        <v>810</v>
      </c>
      <c r="N190" t="s">
        <v>811</v>
      </c>
      <c r="O190" t="s">
        <v>100</v>
      </c>
      <c r="P190" t="str">
        <f>"00038350 035319               "</f>
        <v xml:space="preserve">00038350 035319               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95.22</v>
      </c>
      <c r="AR190">
        <v>0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0</v>
      </c>
      <c r="AY190">
        <v>0</v>
      </c>
      <c r="AZ190">
        <v>0</v>
      </c>
      <c r="BA190">
        <v>0</v>
      </c>
      <c r="BB190">
        <v>0</v>
      </c>
      <c r="BC190">
        <v>0</v>
      </c>
      <c r="BD190">
        <v>0</v>
      </c>
      <c r="BE190">
        <v>0</v>
      </c>
      <c r="BF190">
        <v>0</v>
      </c>
      <c r="BG190">
        <v>0</v>
      </c>
      <c r="BH190">
        <v>2</v>
      </c>
      <c r="BI190">
        <v>1.6</v>
      </c>
      <c r="BJ190">
        <v>4.5</v>
      </c>
      <c r="BK190">
        <v>4.5</v>
      </c>
      <c r="BL190">
        <v>295.68</v>
      </c>
      <c r="BM190">
        <v>44.35</v>
      </c>
      <c r="BN190">
        <v>340.03</v>
      </c>
      <c r="BO190">
        <v>340.03</v>
      </c>
      <c r="BQ190" t="s">
        <v>812</v>
      </c>
      <c r="BR190" t="s">
        <v>84</v>
      </c>
      <c r="BS190" s="3">
        <v>45882</v>
      </c>
      <c r="BT190" s="4">
        <v>0.65625</v>
      </c>
      <c r="BU190" t="s">
        <v>813</v>
      </c>
      <c r="BV190" t="s">
        <v>86</v>
      </c>
      <c r="BY190">
        <v>22428</v>
      </c>
      <c r="BZ190" t="s">
        <v>102</v>
      </c>
      <c r="CC190" t="s">
        <v>810</v>
      </c>
      <c r="CD190">
        <v>7380</v>
      </c>
      <c r="CE190" t="s">
        <v>403</v>
      </c>
      <c r="CF190" s="3">
        <v>45883</v>
      </c>
      <c r="CI190">
        <v>5</v>
      </c>
      <c r="CJ190">
        <v>2</v>
      </c>
      <c r="CK190">
        <v>23</v>
      </c>
      <c r="CL190" t="s">
        <v>90</v>
      </c>
    </row>
    <row r="191" spans="1:90" x14ac:dyDescent="0.3">
      <c r="A191" t="s">
        <v>72</v>
      </c>
      <c r="B191" t="s">
        <v>73</v>
      </c>
      <c r="C191" t="s">
        <v>74</v>
      </c>
      <c r="E191" t="str">
        <f>"GAB2027801"</f>
        <v>GAB2027801</v>
      </c>
      <c r="F191" s="3">
        <v>45880</v>
      </c>
      <c r="G191">
        <v>202605</v>
      </c>
      <c r="H191" t="s">
        <v>75</v>
      </c>
      <c r="I191" t="s">
        <v>76</v>
      </c>
      <c r="J191" t="s">
        <v>77</v>
      </c>
      <c r="K191" t="s">
        <v>78</v>
      </c>
      <c r="L191" t="s">
        <v>126</v>
      </c>
      <c r="M191" t="s">
        <v>127</v>
      </c>
      <c r="N191" t="s">
        <v>814</v>
      </c>
      <c r="O191" t="s">
        <v>100</v>
      </c>
      <c r="P191" t="str">
        <f>"00120057 096573               "</f>
        <v xml:space="preserve">00120057 096573               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18.03</v>
      </c>
      <c r="AR191">
        <v>0</v>
      </c>
      <c r="AS191">
        <v>0</v>
      </c>
      <c r="AT191">
        <v>0</v>
      </c>
      <c r="AU191">
        <v>0</v>
      </c>
      <c r="AV191">
        <v>0</v>
      </c>
      <c r="AW191">
        <v>0</v>
      </c>
      <c r="AX191">
        <v>0</v>
      </c>
      <c r="AY191">
        <v>0</v>
      </c>
      <c r="AZ191">
        <v>0</v>
      </c>
      <c r="BA191">
        <v>0</v>
      </c>
      <c r="BB191">
        <v>0</v>
      </c>
      <c r="BC191">
        <v>0</v>
      </c>
      <c r="BD191">
        <v>0</v>
      </c>
      <c r="BE191">
        <v>0</v>
      </c>
      <c r="BF191">
        <v>0</v>
      </c>
      <c r="BG191">
        <v>0</v>
      </c>
      <c r="BH191">
        <v>1</v>
      </c>
      <c r="BI191">
        <v>1</v>
      </c>
      <c r="BJ191">
        <v>1.7</v>
      </c>
      <c r="BK191">
        <v>2</v>
      </c>
      <c r="BL191">
        <v>55.99</v>
      </c>
      <c r="BM191">
        <v>8.4</v>
      </c>
      <c r="BN191">
        <v>64.39</v>
      </c>
      <c r="BO191">
        <v>64.39</v>
      </c>
      <c r="BQ191" t="s">
        <v>815</v>
      </c>
      <c r="BR191" t="s">
        <v>84</v>
      </c>
      <c r="BS191" s="3">
        <v>45880</v>
      </c>
      <c r="BT191" s="4">
        <v>0.41666666666666669</v>
      </c>
      <c r="BU191" t="s">
        <v>816</v>
      </c>
      <c r="BV191" t="s">
        <v>86</v>
      </c>
      <c r="BY191">
        <v>8448</v>
      </c>
      <c r="CC191" t="s">
        <v>127</v>
      </c>
      <c r="CD191">
        <v>7600</v>
      </c>
      <c r="CE191" t="s">
        <v>817</v>
      </c>
      <c r="CF191" s="3">
        <v>45889</v>
      </c>
      <c r="CI191">
        <v>1</v>
      </c>
      <c r="CJ191">
        <v>0</v>
      </c>
      <c r="CK191">
        <v>22</v>
      </c>
      <c r="CL191" t="s">
        <v>90</v>
      </c>
    </row>
    <row r="192" spans="1:90" x14ac:dyDescent="0.3">
      <c r="A192" t="s">
        <v>72</v>
      </c>
      <c r="B192" t="s">
        <v>73</v>
      </c>
      <c r="C192" t="s">
        <v>74</v>
      </c>
      <c r="E192" t="str">
        <f>"GAB2027803"</f>
        <v>GAB2027803</v>
      </c>
      <c r="F192" s="3">
        <v>45880</v>
      </c>
      <c r="G192">
        <v>202605</v>
      </c>
      <c r="H192" t="s">
        <v>75</v>
      </c>
      <c r="I192" t="s">
        <v>76</v>
      </c>
      <c r="J192" t="s">
        <v>77</v>
      </c>
      <c r="K192" t="s">
        <v>78</v>
      </c>
      <c r="L192" t="s">
        <v>518</v>
      </c>
      <c r="M192" t="s">
        <v>519</v>
      </c>
      <c r="N192" t="s">
        <v>818</v>
      </c>
      <c r="O192" t="s">
        <v>100</v>
      </c>
      <c r="P192" t="str">
        <f>"00038373 035347               "</f>
        <v xml:space="preserve">00038373 035347               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57.68</v>
      </c>
      <c r="AR192">
        <v>0</v>
      </c>
      <c r="AS192">
        <v>0</v>
      </c>
      <c r="AT192">
        <v>0</v>
      </c>
      <c r="AU192">
        <v>0</v>
      </c>
      <c r="AV192">
        <v>0</v>
      </c>
      <c r="AW192">
        <v>0</v>
      </c>
      <c r="AX192">
        <v>0</v>
      </c>
      <c r="AY192">
        <v>0</v>
      </c>
      <c r="AZ192">
        <v>0</v>
      </c>
      <c r="BA192">
        <v>0</v>
      </c>
      <c r="BB192">
        <v>0</v>
      </c>
      <c r="BC192">
        <v>0</v>
      </c>
      <c r="BD192">
        <v>0</v>
      </c>
      <c r="BE192">
        <v>0</v>
      </c>
      <c r="BF192">
        <v>0</v>
      </c>
      <c r="BG192">
        <v>0</v>
      </c>
      <c r="BH192">
        <v>2</v>
      </c>
      <c r="BI192">
        <v>1.8</v>
      </c>
      <c r="BJ192">
        <v>4.8</v>
      </c>
      <c r="BK192">
        <v>5</v>
      </c>
      <c r="BL192">
        <v>179.12</v>
      </c>
      <c r="BM192">
        <v>26.87</v>
      </c>
      <c r="BN192">
        <v>205.99</v>
      </c>
      <c r="BO192">
        <v>205.99</v>
      </c>
      <c r="BQ192" t="s">
        <v>819</v>
      </c>
      <c r="BR192" t="s">
        <v>84</v>
      </c>
      <c r="BS192" s="3">
        <v>45882</v>
      </c>
      <c r="BT192" s="4">
        <v>0.45833333333333331</v>
      </c>
      <c r="BU192" t="s">
        <v>820</v>
      </c>
      <c r="BV192" t="s">
        <v>90</v>
      </c>
      <c r="BY192">
        <v>24002.55</v>
      </c>
      <c r="BZ192" t="s">
        <v>102</v>
      </c>
      <c r="CC192" t="s">
        <v>519</v>
      </c>
      <c r="CD192">
        <v>5200</v>
      </c>
      <c r="CE192" t="s">
        <v>686</v>
      </c>
      <c r="CF192" s="3">
        <v>45883</v>
      </c>
      <c r="CI192">
        <v>1</v>
      </c>
      <c r="CJ192">
        <v>2</v>
      </c>
      <c r="CK192">
        <v>21</v>
      </c>
      <c r="CL192" t="s">
        <v>90</v>
      </c>
    </row>
    <row r="193" spans="1:90" x14ac:dyDescent="0.3">
      <c r="A193" t="s">
        <v>72</v>
      </c>
      <c r="B193" t="s">
        <v>73</v>
      </c>
      <c r="C193" t="s">
        <v>74</v>
      </c>
      <c r="E193" t="str">
        <f>"GAB2027805"</f>
        <v>GAB2027805</v>
      </c>
      <c r="F193" s="3">
        <v>45880</v>
      </c>
      <c r="G193">
        <v>202605</v>
      </c>
      <c r="H193" t="s">
        <v>75</v>
      </c>
      <c r="I193" t="s">
        <v>76</v>
      </c>
      <c r="J193" t="s">
        <v>77</v>
      </c>
      <c r="K193" t="s">
        <v>78</v>
      </c>
      <c r="L193" t="s">
        <v>79</v>
      </c>
      <c r="M193" t="s">
        <v>80</v>
      </c>
      <c r="N193" t="s">
        <v>457</v>
      </c>
      <c r="O193" t="s">
        <v>100</v>
      </c>
      <c r="P193" t="str">
        <f>"00120066 096574               "</f>
        <v xml:space="preserve">00120066 096574               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57.68</v>
      </c>
      <c r="AR193">
        <v>0</v>
      </c>
      <c r="AS193">
        <v>0</v>
      </c>
      <c r="AT193">
        <v>0</v>
      </c>
      <c r="AU193">
        <v>0</v>
      </c>
      <c r="AV193">
        <v>0</v>
      </c>
      <c r="AW193">
        <v>0</v>
      </c>
      <c r="AX193">
        <v>0</v>
      </c>
      <c r="AY193">
        <v>0</v>
      </c>
      <c r="AZ193">
        <v>0</v>
      </c>
      <c r="BA193">
        <v>0</v>
      </c>
      <c r="BB193">
        <v>0</v>
      </c>
      <c r="BC193">
        <v>0</v>
      </c>
      <c r="BD193">
        <v>0</v>
      </c>
      <c r="BE193">
        <v>0</v>
      </c>
      <c r="BF193">
        <v>0</v>
      </c>
      <c r="BG193">
        <v>0</v>
      </c>
      <c r="BH193">
        <v>2</v>
      </c>
      <c r="BI193">
        <v>1.8</v>
      </c>
      <c r="BJ193">
        <v>4.5999999999999996</v>
      </c>
      <c r="BK193">
        <v>5</v>
      </c>
      <c r="BL193">
        <v>179.12</v>
      </c>
      <c r="BM193">
        <v>26.87</v>
      </c>
      <c r="BN193">
        <v>205.99</v>
      </c>
      <c r="BO193">
        <v>205.99</v>
      </c>
      <c r="BQ193" t="s">
        <v>821</v>
      </c>
      <c r="BR193" t="s">
        <v>84</v>
      </c>
      <c r="BS193" s="3">
        <v>45881</v>
      </c>
      <c r="BT193" s="4">
        <v>0.41666666666666669</v>
      </c>
      <c r="BU193" t="s">
        <v>459</v>
      </c>
      <c r="BV193" t="s">
        <v>86</v>
      </c>
      <c r="BY193">
        <v>23059.200000000001</v>
      </c>
      <c r="BZ193" t="s">
        <v>102</v>
      </c>
      <c r="CA193" t="s">
        <v>822</v>
      </c>
      <c r="CC193" t="s">
        <v>80</v>
      </c>
      <c r="CD193" s="5" t="s">
        <v>461</v>
      </c>
      <c r="CE193" t="s">
        <v>823</v>
      </c>
      <c r="CF193" s="3">
        <v>45881</v>
      </c>
      <c r="CI193">
        <v>1</v>
      </c>
      <c r="CJ193">
        <v>1</v>
      </c>
      <c r="CK193">
        <v>21</v>
      </c>
      <c r="CL193" t="s">
        <v>90</v>
      </c>
    </row>
    <row r="194" spans="1:90" x14ac:dyDescent="0.3">
      <c r="A194" t="s">
        <v>72</v>
      </c>
      <c r="B194" t="s">
        <v>73</v>
      </c>
      <c r="C194" t="s">
        <v>74</v>
      </c>
      <c r="E194" t="str">
        <f>"GAB2027806"</f>
        <v>GAB2027806</v>
      </c>
      <c r="F194" s="3">
        <v>45880</v>
      </c>
      <c r="G194">
        <v>202605</v>
      </c>
      <c r="H194" t="s">
        <v>75</v>
      </c>
      <c r="I194" t="s">
        <v>76</v>
      </c>
      <c r="J194" t="s">
        <v>77</v>
      </c>
      <c r="K194" t="s">
        <v>78</v>
      </c>
      <c r="L194" t="s">
        <v>75</v>
      </c>
      <c r="M194" t="s">
        <v>76</v>
      </c>
      <c r="N194" t="s">
        <v>243</v>
      </c>
      <c r="O194" t="s">
        <v>100</v>
      </c>
      <c r="P194" t="str">
        <f>"00120064 096563               "</f>
        <v xml:space="preserve">00120064 096563               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18.03</v>
      </c>
      <c r="AR194">
        <v>0</v>
      </c>
      <c r="AS194">
        <v>0</v>
      </c>
      <c r="AT194">
        <v>0</v>
      </c>
      <c r="AU194">
        <v>0</v>
      </c>
      <c r="AV194">
        <v>0</v>
      </c>
      <c r="AW194">
        <v>0</v>
      </c>
      <c r="AX194">
        <v>0</v>
      </c>
      <c r="AY194">
        <v>0</v>
      </c>
      <c r="AZ194">
        <v>0</v>
      </c>
      <c r="BA194">
        <v>0</v>
      </c>
      <c r="BB194">
        <v>0</v>
      </c>
      <c r="BC194">
        <v>0</v>
      </c>
      <c r="BD194">
        <v>0</v>
      </c>
      <c r="BE194">
        <v>0</v>
      </c>
      <c r="BF194">
        <v>0</v>
      </c>
      <c r="BG194">
        <v>0</v>
      </c>
      <c r="BH194">
        <v>1</v>
      </c>
      <c r="BI194">
        <v>1</v>
      </c>
      <c r="BJ194">
        <v>1.7</v>
      </c>
      <c r="BK194">
        <v>2</v>
      </c>
      <c r="BL194">
        <v>55.99</v>
      </c>
      <c r="BM194">
        <v>8.4</v>
      </c>
      <c r="BN194">
        <v>64.39</v>
      </c>
      <c r="BO194">
        <v>64.39</v>
      </c>
      <c r="BQ194" t="s">
        <v>155</v>
      </c>
      <c r="BR194" t="s">
        <v>84</v>
      </c>
      <c r="BS194" s="3">
        <v>45880</v>
      </c>
      <c r="BT194" s="4">
        <v>0.41666666666666669</v>
      </c>
      <c r="BU194" t="s">
        <v>824</v>
      </c>
      <c r="BV194" t="s">
        <v>86</v>
      </c>
      <c r="BY194">
        <v>8448</v>
      </c>
      <c r="CC194" t="s">
        <v>76</v>
      </c>
      <c r="CD194">
        <v>7800</v>
      </c>
      <c r="CE194" t="s">
        <v>825</v>
      </c>
      <c r="CF194" s="3">
        <v>45889</v>
      </c>
      <c r="CI194">
        <v>1</v>
      </c>
      <c r="CJ194">
        <v>0</v>
      </c>
      <c r="CK194">
        <v>22</v>
      </c>
      <c r="CL194" t="s">
        <v>90</v>
      </c>
    </row>
    <row r="195" spans="1:90" x14ac:dyDescent="0.3">
      <c r="A195" t="s">
        <v>72</v>
      </c>
      <c r="B195" t="s">
        <v>73</v>
      </c>
      <c r="C195" t="s">
        <v>74</v>
      </c>
      <c r="E195" t="str">
        <f>"GAB2027808"</f>
        <v>GAB2027808</v>
      </c>
      <c r="F195" s="3">
        <v>45880</v>
      </c>
      <c r="G195">
        <v>202605</v>
      </c>
      <c r="H195" t="s">
        <v>75</v>
      </c>
      <c r="I195" t="s">
        <v>76</v>
      </c>
      <c r="J195" t="s">
        <v>77</v>
      </c>
      <c r="K195" t="s">
        <v>78</v>
      </c>
      <c r="L195" t="s">
        <v>79</v>
      </c>
      <c r="M195" t="s">
        <v>80</v>
      </c>
      <c r="N195" t="s">
        <v>826</v>
      </c>
      <c r="O195" t="s">
        <v>100</v>
      </c>
      <c r="P195" t="str">
        <f>"00038374 035341               "</f>
        <v xml:space="preserve">00038374 035341               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51.92</v>
      </c>
      <c r="AR195">
        <v>0</v>
      </c>
      <c r="AS195">
        <v>0</v>
      </c>
      <c r="AT195">
        <v>0</v>
      </c>
      <c r="AU195">
        <v>0</v>
      </c>
      <c r="AV195">
        <v>0</v>
      </c>
      <c r="AW195">
        <v>0</v>
      </c>
      <c r="AX195">
        <v>0</v>
      </c>
      <c r="AY195">
        <v>0</v>
      </c>
      <c r="AZ195">
        <v>0</v>
      </c>
      <c r="BA195">
        <v>0</v>
      </c>
      <c r="BB195">
        <v>0</v>
      </c>
      <c r="BC195">
        <v>0</v>
      </c>
      <c r="BD195">
        <v>0</v>
      </c>
      <c r="BE195">
        <v>0</v>
      </c>
      <c r="BF195">
        <v>0</v>
      </c>
      <c r="BG195">
        <v>0</v>
      </c>
      <c r="BH195">
        <v>2</v>
      </c>
      <c r="BI195">
        <v>1.7</v>
      </c>
      <c r="BJ195">
        <v>4.5</v>
      </c>
      <c r="BK195">
        <v>4.5</v>
      </c>
      <c r="BL195">
        <v>161.22</v>
      </c>
      <c r="BM195">
        <v>24.18</v>
      </c>
      <c r="BN195">
        <v>185.4</v>
      </c>
      <c r="BO195">
        <v>185.4</v>
      </c>
      <c r="BQ195" t="s">
        <v>287</v>
      </c>
      <c r="BR195" t="s">
        <v>84</v>
      </c>
      <c r="BS195" s="3">
        <v>45881</v>
      </c>
      <c r="BT195" s="4">
        <v>0.39930555555555558</v>
      </c>
      <c r="BU195" t="s">
        <v>827</v>
      </c>
      <c r="BV195" t="s">
        <v>86</v>
      </c>
      <c r="BY195">
        <v>22613.4</v>
      </c>
      <c r="BZ195" t="s">
        <v>102</v>
      </c>
      <c r="CA195" t="s">
        <v>828</v>
      </c>
      <c r="CC195" t="s">
        <v>80</v>
      </c>
      <c r="CD195" s="5" t="s">
        <v>88</v>
      </c>
      <c r="CE195" t="s">
        <v>109</v>
      </c>
      <c r="CF195" s="3">
        <v>45881</v>
      </c>
      <c r="CI195">
        <v>1</v>
      </c>
      <c r="CJ195">
        <v>1</v>
      </c>
      <c r="CK195">
        <v>21</v>
      </c>
      <c r="CL195" t="s">
        <v>90</v>
      </c>
    </row>
    <row r="196" spans="1:90" x14ac:dyDescent="0.3">
      <c r="A196" t="s">
        <v>72</v>
      </c>
      <c r="B196" t="s">
        <v>73</v>
      </c>
      <c r="C196" t="s">
        <v>74</v>
      </c>
      <c r="E196" t="str">
        <f>"GAB2027811"</f>
        <v>GAB2027811</v>
      </c>
      <c r="F196" s="3">
        <v>45880</v>
      </c>
      <c r="G196">
        <v>202605</v>
      </c>
      <c r="H196" t="s">
        <v>75</v>
      </c>
      <c r="I196" t="s">
        <v>76</v>
      </c>
      <c r="J196" t="s">
        <v>77</v>
      </c>
      <c r="K196" t="s">
        <v>78</v>
      </c>
      <c r="L196" t="s">
        <v>190</v>
      </c>
      <c r="M196" t="s">
        <v>191</v>
      </c>
      <c r="N196" t="s">
        <v>257</v>
      </c>
      <c r="O196" t="s">
        <v>100</v>
      </c>
      <c r="P196" t="str">
        <f>"THABANG                       "</f>
        <v xml:space="preserve">THABANG                       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34.619999999999997</v>
      </c>
      <c r="AR196">
        <v>0</v>
      </c>
      <c r="AS196">
        <v>0</v>
      </c>
      <c r="AT196">
        <v>0</v>
      </c>
      <c r="AU196">
        <v>0</v>
      </c>
      <c r="AV196">
        <v>0</v>
      </c>
      <c r="AW196">
        <v>0</v>
      </c>
      <c r="AX196">
        <v>0</v>
      </c>
      <c r="AY196">
        <v>0</v>
      </c>
      <c r="AZ196">
        <v>0</v>
      </c>
      <c r="BA196">
        <v>0</v>
      </c>
      <c r="BB196">
        <v>0</v>
      </c>
      <c r="BC196">
        <v>0</v>
      </c>
      <c r="BD196">
        <v>0</v>
      </c>
      <c r="BE196">
        <v>0</v>
      </c>
      <c r="BF196">
        <v>0</v>
      </c>
      <c r="BG196">
        <v>0</v>
      </c>
      <c r="BH196">
        <v>2</v>
      </c>
      <c r="BI196">
        <v>1.6</v>
      </c>
      <c r="BJ196">
        <v>3</v>
      </c>
      <c r="BK196">
        <v>3</v>
      </c>
      <c r="BL196">
        <v>107.5</v>
      </c>
      <c r="BM196">
        <v>16.13</v>
      </c>
      <c r="BN196">
        <v>123.63</v>
      </c>
      <c r="BO196">
        <v>123.63</v>
      </c>
      <c r="BQ196" t="s">
        <v>829</v>
      </c>
      <c r="BR196" t="s">
        <v>84</v>
      </c>
      <c r="BS196" s="3">
        <v>45882</v>
      </c>
      <c r="BT196" s="4">
        <v>0.37708333333333333</v>
      </c>
      <c r="BU196" t="s">
        <v>259</v>
      </c>
      <c r="BV196" t="s">
        <v>90</v>
      </c>
      <c r="BW196" t="s">
        <v>589</v>
      </c>
      <c r="BX196" t="s">
        <v>830</v>
      </c>
      <c r="BY196">
        <v>14850.53</v>
      </c>
      <c r="BZ196" t="s">
        <v>102</v>
      </c>
      <c r="CA196" t="s">
        <v>260</v>
      </c>
      <c r="CC196" t="s">
        <v>191</v>
      </c>
      <c r="CD196" s="5" t="s">
        <v>196</v>
      </c>
      <c r="CE196" t="s">
        <v>831</v>
      </c>
      <c r="CF196" s="3">
        <v>45882</v>
      </c>
      <c r="CI196">
        <v>1</v>
      </c>
      <c r="CJ196">
        <v>2</v>
      </c>
      <c r="CK196">
        <v>21</v>
      </c>
      <c r="CL196" t="s">
        <v>90</v>
      </c>
    </row>
    <row r="197" spans="1:90" x14ac:dyDescent="0.3">
      <c r="A197" t="s">
        <v>72</v>
      </c>
      <c r="B197" t="s">
        <v>73</v>
      </c>
      <c r="C197" t="s">
        <v>74</v>
      </c>
      <c r="E197" t="str">
        <f>"GAB2027812"</f>
        <v>GAB2027812</v>
      </c>
      <c r="F197" s="3">
        <v>45880</v>
      </c>
      <c r="G197">
        <v>202605</v>
      </c>
      <c r="H197" t="s">
        <v>75</v>
      </c>
      <c r="I197" t="s">
        <v>76</v>
      </c>
      <c r="J197" t="s">
        <v>77</v>
      </c>
      <c r="K197" t="s">
        <v>78</v>
      </c>
      <c r="L197" t="s">
        <v>832</v>
      </c>
      <c r="M197" t="s">
        <v>833</v>
      </c>
      <c r="N197" t="s">
        <v>834</v>
      </c>
      <c r="O197" t="s">
        <v>100</v>
      </c>
      <c r="P197" t="str">
        <f>"00120043 051 096556 566       "</f>
        <v xml:space="preserve">00120043 051 096556 566       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105.32</v>
      </c>
      <c r="AR197">
        <v>0</v>
      </c>
      <c r="AS197">
        <v>0</v>
      </c>
      <c r="AT197">
        <v>0</v>
      </c>
      <c r="AU197">
        <v>0</v>
      </c>
      <c r="AV197">
        <v>0</v>
      </c>
      <c r="AW197">
        <v>0</v>
      </c>
      <c r="AX197">
        <v>0</v>
      </c>
      <c r="AY197">
        <v>0</v>
      </c>
      <c r="AZ197">
        <v>0</v>
      </c>
      <c r="BA197">
        <v>0</v>
      </c>
      <c r="BB197">
        <v>0</v>
      </c>
      <c r="BC197">
        <v>0</v>
      </c>
      <c r="BD197">
        <v>0</v>
      </c>
      <c r="BE197">
        <v>0</v>
      </c>
      <c r="BF197">
        <v>0</v>
      </c>
      <c r="BG197">
        <v>0</v>
      </c>
      <c r="BH197">
        <v>2</v>
      </c>
      <c r="BI197">
        <v>1.7</v>
      </c>
      <c r="BJ197">
        <v>5</v>
      </c>
      <c r="BK197">
        <v>5</v>
      </c>
      <c r="BL197">
        <v>327.04000000000002</v>
      </c>
      <c r="BM197">
        <v>49.06</v>
      </c>
      <c r="BN197">
        <v>376.1</v>
      </c>
      <c r="BO197">
        <v>376.1</v>
      </c>
      <c r="BQ197" t="s">
        <v>835</v>
      </c>
      <c r="BR197" t="s">
        <v>84</v>
      </c>
      <c r="BS197" s="3">
        <v>45881</v>
      </c>
      <c r="BT197" s="4">
        <v>0.3611111111111111</v>
      </c>
      <c r="BU197" t="s">
        <v>566</v>
      </c>
      <c r="BV197" t="s">
        <v>86</v>
      </c>
      <c r="BY197">
        <v>24845.63</v>
      </c>
      <c r="BZ197" t="s">
        <v>102</v>
      </c>
      <c r="CC197" t="s">
        <v>833</v>
      </c>
      <c r="CD197">
        <v>1900</v>
      </c>
      <c r="CE197" t="s">
        <v>143</v>
      </c>
      <c r="CF197" s="3">
        <v>45882</v>
      </c>
      <c r="CI197">
        <v>1</v>
      </c>
      <c r="CJ197">
        <v>1</v>
      </c>
      <c r="CK197">
        <v>23</v>
      </c>
      <c r="CL197" t="s">
        <v>90</v>
      </c>
    </row>
    <row r="198" spans="1:90" x14ac:dyDescent="0.3">
      <c r="A198" t="s">
        <v>72</v>
      </c>
      <c r="B198" t="s">
        <v>73</v>
      </c>
      <c r="C198" t="s">
        <v>74</v>
      </c>
      <c r="E198" t="str">
        <f>"GAB2027815"</f>
        <v>GAB2027815</v>
      </c>
      <c r="F198" s="3">
        <v>45880</v>
      </c>
      <c r="G198">
        <v>202605</v>
      </c>
      <c r="H198" t="s">
        <v>75</v>
      </c>
      <c r="I198" t="s">
        <v>76</v>
      </c>
      <c r="J198" t="s">
        <v>77</v>
      </c>
      <c r="K198" t="s">
        <v>78</v>
      </c>
      <c r="L198" t="s">
        <v>184</v>
      </c>
      <c r="M198" t="s">
        <v>185</v>
      </c>
      <c r="N198" t="s">
        <v>836</v>
      </c>
      <c r="O198" t="s">
        <v>100</v>
      </c>
      <c r="P198" t="str">
        <f>"00038352 353 035326 321       "</f>
        <v xml:space="preserve">00038352 353 035326 321       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57.68</v>
      </c>
      <c r="AR198">
        <v>0</v>
      </c>
      <c r="AS198">
        <v>0</v>
      </c>
      <c r="AT198">
        <v>0</v>
      </c>
      <c r="AU198">
        <v>0</v>
      </c>
      <c r="AV198">
        <v>0</v>
      </c>
      <c r="AW198">
        <v>0</v>
      </c>
      <c r="AX198">
        <v>0</v>
      </c>
      <c r="AY198">
        <v>0</v>
      </c>
      <c r="AZ198">
        <v>0</v>
      </c>
      <c r="BA198">
        <v>0</v>
      </c>
      <c r="BB198">
        <v>0</v>
      </c>
      <c r="BC198">
        <v>0</v>
      </c>
      <c r="BD198">
        <v>0</v>
      </c>
      <c r="BE198">
        <v>0</v>
      </c>
      <c r="BF198">
        <v>0</v>
      </c>
      <c r="BG198">
        <v>0</v>
      </c>
      <c r="BH198">
        <v>2</v>
      </c>
      <c r="BI198">
        <v>1.7</v>
      </c>
      <c r="BJ198">
        <v>4.9000000000000004</v>
      </c>
      <c r="BK198">
        <v>5</v>
      </c>
      <c r="BL198">
        <v>179.12</v>
      </c>
      <c r="BM198">
        <v>26.87</v>
      </c>
      <c r="BN198">
        <v>205.99</v>
      </c>
      <c r="BO198">
        <v>205.99</v>
      </c>
      <c r="BQ198" t="s">
        <v>463</v>
      </c>
      <c r="BR198" t="s">
        <v>84</v>
      </c>
      <c r="BS198" s="3">
        <v>45881</v>
      </c>
      <c r="BT198" s="4">
        <v>0.29166666666666669</v>
      </c>
      <c r="BU198" t="s">
        <v>837</v>
      </c>
      <c r="BV198" t="s">
        <v>86</v>
      </c>
      <c r="BY198">
        <v>24546</v>
      </c>
      <c r="BZ198" t="s">
        <v>102</v>
      </c>
      <c r="CA198" t="s">
        <v>465</v>
      </c>
      <c r="CC198" t="s">
        <v>185</v>
      </c>
      <c r="CD198">
        <v>1709</v>
      </c>
      <c r="CE198" t="s">
        <v>109</v>
      </c>
      <c r="CF198" s="3">
        <v>45882</v>
      </c>
      <c r="CI198">
        <v>1</v>
      </c>
      <c r="CJ198">
        <v>1</v>
      </c>
      <c r="CK198">
        <v>21</v>
      </c>
      <c r="CL198" t="s">
        <v>90</v>
      </c>
    </row>
    <row r="199" spans="1:90" x14ac:dyDescent="0.3">
      <c r="A199" t="s">
        <v>72</v>
      </c>
      <c r="B199" t="s">
        <v>73</v>
      </c>
      <c r="C199" t="s">
        <v>74</v>
      </c>
      <c r="E199" t="str">
        <f>"GAB2027797"</f>
        <v>GAB2027797</v>
      </c>
      <c r="F199" s="3">
        <v>45880</v>
      </c>
      <c r="G199">
        <v>202605</v>
      </c>
      <c r="H199" t="s">
        <v>75</v>
      </c>
      <c r="I199" t="s">
        <v>76</v>
      </c>
      <c r="J199" t="s">
        <v>77</v>
      </c>
      <c r="K199" t="s">
        <v>78</v>
      </c>
      <c r="L199" t="s">
        <v>838</v>
      </c>
      <c r="M199" t="s">
        <v>839</v>
      </c>
      <c r="N199" t="s">
        <v>840</v>
      </c>
      <c r="O199" t="s">
        <v>100</v>
      </c>
      <c r="P199" t="str">
        <f>"00038351 035340               "</f>
        <v xml:space="preserve">00038351 035340               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75.02</v>
      </c>
      <c r="AR199">
        <v>0</v>
      </c>
      <c r="AS199">
        <v>0</v>
      </c>
      <c r="AT199">
        <v>0</v>
      </c>
      <c r="AU199">
        <v>0</v>
      </c>
      <c r="AV199">
        <v>0</v>
      </c>
      <c r="AW199">
        <v>0</v>
      </c>
      <c r="AX199">
        <v>0</v>
      </c>
      <c r="AY199">
        <v>0</v>
      </c>
      <c r="AZ199">
        <v>0</v>
      </c>
      <c r="BA199">
        <v>0</v>
      </c>
      <c r="BB199">
        <v>0</v>
      </c>
      <c r="BC199">
        <v>0</v>
      </c>
      <c r="BD199">
        <v>0</v>
      </c>
      <c r="BE199">
        <v>0</v>
      </c>
      <c r="BF199">
        <v>0</v>
      </c>
      <c r="BG199">
        <v>0</v>
      </c>
      <c r="BH199">
        <v>2</v>
      </c>
      <c r="BI199">
        <v>1.8</v>
      </c>
      <c r="BJ199">
        <v>3.3</v>
      </c>
      <c r="BK199">
        <v>3.5</v>
      </c>
      <c r="BL199">
        <v>232.96</v>
      </c>
      <c r="BM199">
        <v>34.94</v>
      </c>
      <c r="BN199">
        <v>267.89999999999998</v>
      </c>
      <c r="BO199">
        <v>267.89999999999998</v>
      </c>
      <c r="BQ199" t="s">
        <v>175</v>
      </c>
      <c r="BR199" t="s">
        <v>84</v>
      </c>
      <c r="BS199" s="3">
        <v>45882</v>
      </c>
      <c r="BT199" s="4">
        <v>0.71527777777777779</v>
      </c>
      <c r="BU199" t="s">
        <v>841</v>
      </c>
      <c r="BV199" t="s">
        <v>90</v>
      </c>
      <c r="BW199" t="s">
        <v>182</v>
      </c>
      <c r="BX199" t="s">
        <v>842</v>
      </c>
      <c r="BY199">
        <v>16586.46</v>
      </c>
      <c r="BZ199" t="s">
        <v>102</v>
      </c>
      <c r="CA199" t="s">
        <v>843</v>
      </c>
      <c r="CC199" t="s">
        <v>839</v>
      </c>
      <c r="CD199" s="5" t="s">
        <v>844</v>
      </c>
      <c r="CE199" t="s">
        <v>845</v>
      </c>
      <c r="CF199" s="3">
        <v>45882</v>
      </c>
      <c r="CI199">
        <v>2</v>
      </c>
      <c r="CJ199">
        <v>2</v>
      </c>
      <c r="CK199">
        <v>23</v>
      </c>
      <c r="CL199" t="s">
        <v>90</v>
      </c>
    </row>
    <row r="200" spans="1:90" x14ac:dyDescent="0.3">
      <c r="A200" t="s">
        <v>72</v>
      </c>
      <c r="B200" t="s">
        <v>73</v>
      </c>
      <c r="C200" t="s">
        <v>74</v>
      </c>
      <c r="E200" t="str">
        <f>"GAB2027809"</f>
        <v>GAB2027809</v>
      </c>
      <c r="F200" s="3">
        <v>45880</v>
      </c>
      <c r="G200">
        <v>202605</v>
      </c>
      <c r="H200" t="s">
        <v>75</v>
      </c>
      <c r="I200" t="s">
        <v>76</v>
      </c>
      <c r="J200" t="s">
        <v>77</v>
      </c>
      <c r="K200" t="s">
        <v>78</v>
      </c>
      <c r="L200" t="s">
        <v>208</v>
      </c>
      <c r="M200" t="s">
        <v>209</v>
      </c>
      <c r="N200" t="s">
        <v>210</v>
      </c>
      <c r="O200" t="s">
        <v>100</v>
      </c>
      <c r="P200" t="str">
        <f>"00120044 096557               "</f>
        <v xml:space="preserve">00120044 096557               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64.92</v>
      </c>
      <c r="AR200">
        <v>0</v>
      </c>
      <c r="AS200">
        <v>0</v>
      </c>
      <c r="AT200">
        <v>0</v>
      </c>
      <c r="AU200">
        <v>0</v>
      </c>
      <c r="AV200">
        <v>0</v>
      </c>
      <c r="AW200">
        <v>0</v>
      </c>
      <c r="AX200">
        <v>0</v>
      </c>
      <c r="AY200">
        <v>0</v>
      </c>
      <c r="AZ200">
        <v>0</v>
      </c>
      <c r="BA200">
        <v>0</v>
      </c>
      <c r="BB200">
        <v>0</v>
      </c>
      <c r="BC200">
        <v>0</v>
      </c>
      <c r="BD200">
        <v>0</v>
      </c>
      <c r="BE200">
        <v>0</v>
      </c>
      <c r="BF200">
        <v>0</v>
      </c>
      <c r="BG200">
        <v>0</v>
      </c>
      <c r="BH200">
        <v>2</v>
      </c>
      <c r="BI200">
        <v>2</v>
      </c>
      <c r="BJ200">
        <v>2.6</v>
      </c>
      <c r="BK200">
        <v>3</v>
      </c>
      <c r="BL200">
        <v>201.6</v>
      </c>
      <c r="BM200">
        <v>30.24</v>
      </c>
      <c r="BN200">
        <v>231.84</v>
      </c>
      <c r="BO200">
        <v>231.84</v>
      </c>
      <c r="BQ200" t="s">
        <v>211</v>
      </c>
      <c r="BR200" t="s">
        <v>84</v>
      </c>
      <c r="BS200" s="3">
        <v>45881</v>
      </c>
      <c r="BT200" s="4">
        <v>0.4826388888888889</v>
      </c>
      <c r="BU200" t="s">
        <v>610</v>
      </c>
      <c r="BV200" t="s">
        <v>86</v>
      </c>
      <c r="BY200">
        <v>13200</v>
      </c>
      <c r="BZ200" t="s">
        <v>102</v>
      </c>
      <c r="CA200" t="s">
        <v>611</v>
      </c>
      <c r="CC200" t="s">
        <v>209</v>
      </c>
      <c r="CD200">
        <v>9459</v>
      </c>
      <c r="CE200" t="s">
        <v>846</v>
      </c>
      <c r="CF200" s="3">
        <v>45881</v>
      </c>
      <c r="CI200">
        <v>2</v>
      </c>
      <c r="CJ200">
        <v>1</v>
      </c>
      <c r="CK200">
        <v>23</v>
      </c>
      <c r="CL200" t="s">
        <v>90</v>
      </c>
    </row>
    <row r="201" spans="1:90" x14ac:dyDescent="0.3">
      <c r="A201" t="s">
        <v>72</v>
      </c>
      <c r="B201" t="s">
        <v>73</v>
      </c>
      <c r="C201" t="s">
        <v>74</v>
      </c>
      <c r="E201" t="str">
        <f>"RGAB2027754"</f>
        <v>RGAB2027754</v>
      </c>
      <c r="F201" s="3">
        <v>45881</v>
      </c>
      <c r="G201">
        <v>202605</v>
      </c>
      <c r="H201" t="s">
        <v>415</v>
      </c>
      <c r="I201" t="s">
        <v>416</v>
      </c>
      <c r="J201" t="s">
        <v>688</v>
      </c>
      <c r="K201" t="s">
        <v>78</v>
      </c>
      <c r="L201" t="s">
        <v>415</v>
      </c>
      <c r="M201" t="s">
        <v>416</v>
      </c>
      <c r="N201" t="s">
        <v>688</v>
      </c>
      <c r="O201" t="s">
        <v>82</v>
      </c>
      <c r="P201" t="str">
        <f>"INV-00119999 CT096378         "</f>
        <v xml:space="preserve">INV-00119999 CT096378         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5.87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34.450000000000003</v>
      </c>
      <c r="AR201">
        <v>0</v>
      </c>
      <c r="AS201">
        <v>0</v>
      </c>
      <c r="AT201">
        <v>0</v>
      </c>
      <c r="AU201">
        <v>0</v>
      </c>
      <c r="AV201">
        <v>0</v>
      </c>
      <c r="AW201">
        <v>0</v>
      </c>
      <c r="AX201">
        <v>0</v>
      </c>
      <c r="AY201">
        <v>0</v>
      </c>
      <c r="AZ201">
        <v>0</v>
      </c>
      <c r="BA201">
        <v>0</v>
      </c>
      <c r="BB201">
        <v>0</v>
      </c>
      <c r="BC201">
        <v>0</v>
      </c>
      <c r="BD201">
        <v>0</v>
      </c>
      <c r="BE201">
        <v>0</v>
      </c>
      <c r="BF201">
        <v>0</v>
      </c>
      <c r="BG201">
        <v>0</v>
      </c>
      <c r="BH201">
        <v>1</v>
      </c>
      <c r="BI201">
        <v>0.6</v>
      </c>
      <c r="BJ201">
        <v>4.7</v>
      </c>
      <c r="BK201">
        <v>5</v>
      </c>
      <c r="BL201">
        <v>112.84</v>
      </c>
      <c r="BM201">
        <v>16.93</v>
      </c>
      <c r="BN201">
        <v>129.77000000000001</v>
      </c>
      <c r="BO201">
        <v>129.77000000000001</v>
      </c>
      <c r="BQ201" t="s">
        <v>847</v>
      </c>
      <c r="BR201" t="s">
        <v>689</v>
      </c>
      <c r="BS201" s="3">
        <v>45882</v>
      </c>
      <c r="BT201" s="4">
        <v>0.4236111111111111</v>
      </c>
      <c r="BU201" t="s">
        <v>848</v>
      </c>
      <c r="BV201" t="s">
        <v>86</v>
      </c>
      <c r="BY201">
        <v>23465</v>
      </c>
      <c r="CA201" t="s">
        <v>103</v>
      </c>
      <c r="CC201" t="s">
        <v>416</v>
      </c>
      <c r="CD201">
        <v>2191</v>
      </c>
      <c r="CE201" t="s">
        <v>116</v>
      </c>
      <c r="CF201" s="3">
        <v>45882</v>
      </c>
      <c r="CI201">
        <v>1</v>
      </c>
      <c r="CJ201">
        <v>1</v>
      </c>
      <c r="CK201">
        <v>42</v>
      </c>
      <c r="CL201" t="s">
        <v>90</v>
      </c>
    </row>
    <row r="202" spans="1:90" x14ac:dyDescent="0.3">
      <c r="A202" t="s">
        <v>72</v>
      </c>
      <c r="B202" t="s">
        <v>73</v>
      </c>
      <c r="C202" t="s">
        <v>74</v>
      </c>
      <c r="E202" t="str">
        <f>"080011593125"</f>
        <v>080011593125</v>
      </c>
      <c r="F202" s="3">
        <v>45881</v>
      </c>
      <c r="G202">
        <v>202605</v>
      </c>
      <c r="H202" t="s">
        <v>545</v>
      </c>
      <c r="I202" t="s">
        <v>546</v>
      </c>
      <c r="J202" t="s">
        <v>849</v>
      </c>
      <c r="K202" t="s">
        <v>78</v>
      </c>
      <c r="L202" t="s">
        <v>75</v>
      </c>
      <c r="M202" t="s">
        <v>76</v>
      </c>
      <c r="N202" t="s">
        <v>257</v>
      </c>
      <c r="O202" t="s">
        <v>82</v>
      </c>
      <c r="P202" t="str">
        <f>"Hester                        "</f>
        <v xml:space="preserve">Hester                        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5.87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44.64</v>
      </c>
      <c r="AR202">
        <v>0</v>
      </c>
      <c r="AS202">
        <v>0</v>
      </c>
      <c r="AT202">
        <v>0</v>
      </c>
      <c r="AU202">
        <v>0</v>
      </c>
      <c r="AV202">
        <v>0</v>
      </c>
      <c r="AW202">
        <v>0</v>
      </c>
      <c r="AX202">
        <v>0</v>
      </c>
      <c r="AY202">
        <v>0</v>
      </c>
      <c r="AZ202">
        <v>0</v>
      </c>
      <c r="BA202">
        <v>0</v>
      </c>
      <c r="BB202">
        <v>0</v>
      </c>
      <c r="BC202">
        <v>0</v>
      </c>
      <c r="BD202">
        <v>0</v>
      </c>
      <c r="BE202">
        <v>0</v>
      </c>
      <c r="BF202">
        <v>0</v>
      </c>
      <c r="BG202">
        <v>0</v>
      </c>
      <c r="BH202">
        <v>1</v>
      </c>
      <c r="BI202">
        <v>6</v>
      </c>
      <c r="BJ202">
        <v>4.0999999999999996</v>
      </c>
      <c r="BK202">
        <v>6</v>
      </c>
      <c r="BL202">
        <v>144.49</v>
      </c>
      <c r="BM202">
        <v>21.67</v>
      </c>
      <c r="BN202">
        <v>166.16</v>
      </c>
      <c r="BO202">
        <v>166.16</v>
      </c>
      <c r="BP202" t="s">
        <v>176</v>
      </c>
      <c r="BQ202" t="s">
        <v>614</v>
      </c>
      <c r="BR202" t="s">
        <v>850</v>
      </c>
      <c r="BS202" s="3">
        <v>45884</v>
      </c>
      <c r="BT202" s="4">
        <v>0.53611111111111109</v>
      </c>
      <c r="BU202" t="s">
        <v>349</v>
      </c>
      <c r="BV202" t="s">
        <v>86</v>
      </c>
      <c r="BY202">
        <v>20700</v>
      </c>
      <c r="BZ202" t="s">
        <v>606</v>
      </c>
      <c r="CA202" t="s">
        <v>351</v>
      </c>
      <c r="CC202" t="s">
        <v>76</v>
      </c>
      <c r="CD202">
        <v>7460</v>
      </c>
      <c r="CE202" t="s">
        <v>616</v>
      </c>
      <c r="CF202" s="3">
        <v>45887</v>
      </c>
      <c r="CI202">
        <v>3</v>
      </c>
      <c r="CJ202">
        <v>3</v>
      </c>
      <c r="CK202">
        <v>41</v>
      </c>
      <c r="CL202" t="s">
        <v>90</v>
      </c>
    </row>
    <row r="203" spans="1:90" x14ac:dyDescent="0.3">
      <c r="A203" t="s">
        <v>72</v>
      </c>
      <c r="B203" t="s">
        <v>73</v>
      </c>
      <c r="C203" t="s">
        <v>74</v>
      </c>
      <c r="E203" t="str">
        <f>"009945156778"</f>
        <v>009945156778</v>
      </c>
      <c r="F203" s="3">
        <v>45881</v>
      </c>
      <c r="G203">
        <v>202605</v>
      </c>
      <c r="H203" t="s">
        <v>79</v>
      </c>
      <c r="I203" t="s">
        <v>80</v>
      </c>
      <c r="J203" t="s">
        <v>257</v>
      </c>
      <c r="K203" t="s">
        <v>78</v>
      </c>
      <c r="L203" t="s">
        <v>148</v>
      </c>
      <c r="M203" t="s">
        <v>149</v>
      </c>
      <c r="N203" t="s">
        <v>766</v>
      </c>
      <c r="O203" t="s">
        <v>100</v>
      </c>
      <c r="P203" t="str">
        <f>"NO REF                        "</f>
        <v xml:space="preserve">NO REF                        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69.22</v>
      </c>
      <c r="AR203">
        <v>0</v>
      </c>
      <c r="AS203">
        <v>0</v>
      </c>
      <c r="AT203">
        <v>0</v>
      </c>
      <c r="AU203">
        <v>0</v>
      </c>
      <c r="AV203">
        <v>0</v>
      </c>
      <c r="AW203">
        <v>0</v>
      </c>
      <c r="AX203">
        <v>0</v>
      </c>
      <c r="AY203">
        <v>0</v>
      </c>
      <c r="AZ203">
        <v>0</v>
      </c>
      <c r="BA203">
        <v>0</v>
      </c>
      <c r="BB203">
        <v>0</v>
      </c>
      <c r="BC203">
        <v>0</v>
      </c>
      <c r="BD203">
        <v>0</v>
      </c>
      <c r="BE203">
        <v>0</v>
      </c>
      <c r="BF203">
        <v>0</v>
      </c>
      <c r="BG203">
        <v>0</v>
      </c>
      <c r="BH203">
        <v>1</v>
      </c>
      <c r="BI203">
        <v>3</v>
      </c>
      <c r="BJ203">
        <v>5.6</v>
      </c>
      <c r="BK203">
        <v>6</v>
      </c>
      <c r="BL203">
        <v>214.94</v>
      </c>
      <c r="BM203">
        <v>32.24</v>
      </c>
      <c r="BN203">
        <v>247.18</v>
      </c>
      <c r="BO203">
        <v>247.18</v>
      </c>
      <c r="BQ203" t="s">
        <v>851</v>
      </c>
      <c r="BR203" t="s">
        <v>355</v>
      </c>
      <c r="BS203" s="3">
        <v>45882</v>
      </c>
      <c r="BT203" s="4">
        <v>0.39791666666666664</v>
      </c>
      <c r="BU203" t="s">
        <v>609</v>
      </c>
      <c r="BV203" t="s">
        <v>86</v>
      </c>
      <c r="BY203">
        <v>27900</v>
      </c>
      <c r="BZ203" t="s">
        <v>102</v>
      </c>
      <c r="CA203" t="s">
        <v>852</v>
      </c>
      <c r="CC203" t="s">
        <v>149</v>
      </c>
      <c r="CD203">
        <v>6070</v>
      </c>
      <c r="CE203" t="s">
        <v>176</v>
      </c>
      <c r="CF203" s="3">
        <v>45882</v>
      </c>
      <c r="CI203">
        <v>1</v>
      </c>
      <c r="CJ203">
        <v>1</v>
      </c>
      <c r="CK203">
        <v>21</v>
      </c>
      <c r="CL203" t="s">
        <v>90</v>
      </c>
    </row>
    <row r="204" spans="1:90" x14ac:dyDescent="0.3">
      <c r="A204" t="s">
        <v>72</v>
      </c>
      <c r="B204" t="s">
        <v>73</v>
      </c>
      <c r="C204" t="s">
        <v>74</v>
      </c>
      <c r="E204" t="str">
        <f>"GAB2027821"</f>
        <v>GAB2027821</v>
      </c>
      <c r="F204" s="3">
        <v>45881</v>
      </c>
      <c r="G204">
        <v>202605</v>
      </c>
      <c r="H204" t="s">
        <v>75</v>
      </c>
      <c r="I204" t="s">
        <v>76</v>
      </c>
      <c r="J204" t="s">
        <v>77</v>
      </c>
      <c r="K204" t="s">
        <v>78</v>
      </c>
      <c r="L204" t="s">
        <v>190</v>
      </c>
      <c r="M204" t="s">
        <v>191</v>
      </c>
      <c r="N204" t="s">
        <v>257</v>
      </c>
      <c r="O204" t="s">
        <v>82</v>
      </c>
      <c r="P204" t="str">
        <f>"INV-00120073 CT096474         "</f>
        <v xml:space="preserve">INV-00120073 CT096474         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5.87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44.64</v>
      </c>
      <c r="AR204">
        <v>0</v>
      </c>
      <c r="AS204">
        <v>0</v>
      </c>
      <c r="AT204">
        <v>0</v>
      </c>
      <c r="AU204">
        <v>0</v>
      </c>
      <c r="AV204">
        <v>0</v>
      </c>
      <c r="AW204">
        <v>0</v>
      </c>
      <c r="AX204">
        <v>0</v>
      </c>
      <c r="AY204">
        <v>0</v>
      </c>
      <c r="AZ204">
        <v>0</v>
      </c>
      <c r="BA204">
        <v>0</v>
      </c>
      <c r="BB204">
        <v>0</v>
      </c>
      <c r="BC204">
        <v>0</v>
      </c>
      <c r="BD204">
        <v>0</v>
      </c>
      <c r="BE204">
        <v>0</v>
      </c>
      <c r="BF204">
        <v>0</v>
      </c>
      <c r="BG204">
        <v>0</v>
      </c>
      <c r="BH204">
        <v>1</v>
      </c>
      <c r="BI204">
        <v>14</v>
      </c>
      <c r="BJ204">
        <v>7.5</v>
      </c>
      <c r="BK204">
        <v>14</v>
      </c>
      <c r="BL204">
        <v>144.49</v>
      </c>
      <c r="BM204">
        <v>21.67</v>
      </c>
      <c r="BN204">
        <v>166.16</v>
      </c>
      <c r="BO204">
        <v>166.16</v>
      </c>
      <c r="BQ204" t="s">
        <v>593</v>
      </c>
      <c r="BR204" t="s">
        <v>84</v>
      </c>
      <c r="BS204" s="3">
        <v>45883</v>
      </c>
      <c r="BT204" s="4">
        <v>0.38541666666666669</v>
      </c>
      <c r="BU204" t="s">
        <v>259</v>
      </c>
      <c r="BV204" t="s">
        <v>86</v>
      </c>
      <c r="BY204">
        <v>37468</v>
      </c>
      <c r="CA204" t="s">
        <v>260</v>
      </c>
      <c r="CC204" t="s">
        <v>191</v>
      </c>
      <c r="CD204" s="5" t="s">
        <v>196</v>
      </c>
      <c r="CE204" t="s">
        <v>89</v>
      </c>
      <c r="CF204" s="3">
        <v>45883</v>
      </c>
      <c r="CI204">
        <v>3</v>
      </c>
      <c r="CJ204">
        <v>2</v>
      </c>
      <c r="CK204">
        <v>41</v>
      </c>
      <c r="CL204" t="s">
        <v>90</v>
      </c>
    </row>
    <row r="205" spans="1:90" x14ac:dyDescent="0.3">
      <c r="A205" t="s">
        <v>72</v>
      </c>
      <c r="B205" t="s">
        <v>73</v>
      </c>
      <c r="C205" t="s">
        <v>74</v>
      </c>
      <c r="E205" t="str">
        <f>"GAB2027830"</f>
        <v>GAB2027830</v>
      </c>
      <c r="F205" s="3">
        <v>45881</v>
      </c>
      <c r="G205">
        <v>202605</v>
      </c>
      <c r="H205" t="s">
        <v>75</v>
      </c>
      <c r="I205" t="s">
        <v>76</v>
      </c>
      <c r="J205" t="s">
        <v>77</v>
      </c>
      <c r="K205" t="s">
        <v>78</v>
      </c>
      <c r="L205" t="s">
        <v>177</v>
      </c>
      <c r="M205" t="s">
        <v>178</v>
      </c>
      <c r="N205" t="s">
        <v>179</v>
      </c>
      <c r="O205" t="s">
        <v>82</v>
      </c>
      <c r="P205" t="str">
        <f>"INV-00038385 035376           "</f>
        <v xml:space="preserve">INV-00038385 035376           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5.87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133.71</v>
      </c>
      <c r="AR205">
        <v>0</v>
      </c>
      <c r="AS205">
        <v>0</v>
      </c>
      <c r="AT205">
        <v>0</v>
      </c>
      <c r="AU205">
        <v>0</v>
      </c>
      <c r="AV205">
        <v>0</v>
      </c>
      <c r="AW205">
        <v>0</v>
      </c>
      <c r="AX205">
        <v>0</v>
      </c>
      <c r="AY205">
        <v>0</v>
      </c>
      <c r="AZ205">
        <v>0</v>
      </c>
      <c r="BA205">
        <v>0</v>
      </c>
      <c r="BB205">
        <v>0</v>
      </c>
      <c r="BC205">
        <v>0</v>
      </c>
      <c r="BD205">
        <v>0</v>
      </c>
      <c r="BE205">
        <v>0</v>
      </c>
      <c r="BF205">
        <v>0</v>
      </c>
      <c r="BG205">
        <v>0</v>
      </c>
      <c r="BH205">
        <v>3</v>
      </c>
      <c r="BI205">
        <v>22</v>
      </c>
      <c r="BJ205">
        <v>36.6</v>
      </c>
      <c r="BK205">
        <v>37</v>
      </c>
      <c r="BL205">
        <v>421.07</v>
      </c>
      <c r="BM205">
        <v>63.16</v>
      </c>
      <c r="BN205">
        <v>484.23</v>
      </c>
      <c r="BO205">
        <v>484.23</v>
      </c>
      <c r="BQ205" t="s">
        <v>168</v>
      </c>
      <c r="BR205" t="s">
        <v>84</v>
      </c>
      <c r="BS205" s="3">
        <v>45884</v>
      </c>
      <c r="BT205" s="4">
        <v>0.60416666666666663</v>
      </c>
      <c r="BU205" t="s">
        <v>853</v>
      </c>
      <c r="BV205" t="s">
        <v>86</v>
      </c>
      <c r="BY205">
        <v>183057</v>
      </c>
      <c r="CC205" t="s">
        <v>178</v>
      </c>
      <c r="CD205">
        <v>1050</v>
      </c>
      <c r="CE205" t="s">
        <v>171</v>
      </c>
      <c r="CF205" s="3">
        <v>45887</v>
      </c>
      <c r="CI205">
        <v>2</v>
      </c>
      <c r="CJ205">
        <v>3</v>
      </c>
      <c r="CK205">
        <v>43</v>
      </c>
      <c r="CL205" t="s">
        <v>90</v>
      </c>
    </row>
    <row r="206" spans="1:90" x14ac:dyDescent="0.3">
      <c r="A206" t="s">
        <v>72</v>
      </c>
      <c r="B206" t="s">
        <v>73</v>
      </c>
      <c r="C206" t="s">
        <v>74</v>
      </c>
      <c r="E206" t="str">
        <f>"GAB2027843"</f>
        <v>GAB2027843</v>
      </c>
      <c r="F206" s="3">
        <v>45881</v>
      </c>
      <c r="G206">
        <v>202605</v>
      </c>
      <c r="H206" t="s">
        <v>75</v>
      </c>
      <c r="I206" t="s">
        <v>76</v>
      </c>
      <c r="J206" t="s">
        <v>77</v>
      </c>
      <c r="K206" t="s">
        <v>78</v>
      </c>
      <c r="L206" t="s">
        <v>79</v>
      </c>
      <c r="M206" t="s">
        <v>80</v>
      </c>
      <c r="N206" t="s">
        <v>81</v>
      </c>
      <c r="O206" t="s">
        <v>82</v>
      </c>
      <c r="P206" t="str">
        <f>"INV-00120095 CT096560         "</f>
        <v xml:space="preserve">INV-00120095 CT096560         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5.87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44.64</v>
      </c>
      <c r="AR206">
        <v>0</v>
      </c>
      <c r="AS206">
        <v>0</v>
      </c>
      <c r="AT206">
        <v>0</v>
      </c>
      <c r="AU206">
        <v>0</v>
      </c>
      <c r="AV206">
        <v>0</v>
      </c>
      <c r="AW206">
        <v>0</v>
      </c>
      <c r="AX206">
        <v>0</v>
      </c>
      <c r="AY206">
        <v>0</v>
      </c>
      <c r="AZ206">
        <v>0</v>
      </c>
      <c r="BA206">
        <v>0</v>
      </c>
      <c r="BB206">
        <v>0</v>
      </c>
      <c r="BC206">
        <v>0</v>
      </c>
      <c r="BD206">
        <v>0</v>
      </c>
      <c r="BE206">
        <v>0</v>
      </c>
      <c r="BF206">
        <v>0</v>
      </c>
      <c r="BG206">
        <v>0</v>
      </c>
      <c r="BH206">
        <v>1</v>
      </c>
      <c r="BI206">
        <v>1</v>
      </c>
      <c r="BJ206">
        <v>2.4</v>
      </c>
      <c r="BK206">
        <v>3</v>
      </c>
      <c r="BL206">
        <v>144.49</v>
      </c>
      <c r="BM206">
        <v>21.67</v>
      </c>
      <c r="BN206">
        <v>166.16</v>
      </c>
      <c r="BO206">
        <v>166.16</v>
      </c>
      <c r="BR206" t="s">
        <v>84</v>
      </c>
      <c r="BS206" s="3">
        <v>45883</v>
      </c>
      <c r="BT206" s="4">
        <v>0.32500000000000001</v>
      </c>
      <c r="BU206" t="s">
        <v>854</v>
      </c>
      <c r="BV206" t="s">
        <v>86</v>
      </c>
      <c r="BY206">
        <v>12000</v>
      </c>
      <c r="CA206" t="s">
        <v>855</v>
      </c>
      <c r="CC206" t="s">
        <v>80</v>
      </c>
      <c r="CD206" s="5" t="s">
        <v>88</v>
      </c>
      <c r="CE206" t="s">
        <v>640</v>
      </c>
      <c r="CF206" s="3">
        <v>45883</v>
      </c>
      <c r="CI206">
        <v>3</v>
      </c>
      <c r="CJ206">
        <v>2</v>
      </c>
      <c r="CK206">
        <v>41</v>
      </c>
      <c r="CL206" t="s">
        <v>90</v>
      </c>
    </row>
    <row r="207" spans="1:90" x14ac:dyDescent="0.3">
      <c r="A207" t="s">
        <v>72</v>
      </c>
      <c r="B207" t="s">
        <v>73</v>
      </c>
      <c r="C207" t="s">
        <v>74</v>
      </c>
      <c r="E207" t="str">
        <f>"GAB2027844"</f>
        <v>GAB2027844</v>
      </c>
      <c r="F207" s="3">
        <v>45881</v>
      </c>
      <c r="G207">
        <v>202605</v>
      </c>
      <c r="H207" t="s">
        <v>75</v>
      </c>
      <c r="I207" t="s">
        <v>76</v>
      </c>
      <c r="J207" t="s">
        <v>77</v>
      </c>
      <c r="K207" t="s">
        <v>78</v>
      </c>
      <c r="L207" t="s">
        <v>79</v>
      </c>
      <c r="M207" t="s">
        <v>80</v>
      </c>
      <c r="N207" t="s">
        <v>631</v>
      </c>
      <c r="O207" t="s">
        <v>82</v>
      </c>
      <c r="P207" t="str">
        <f>"INV-00120096 CT096571         "</f>
        <v xml:space="preserve">INV-00120096 CT096571         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5.87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44.64</v>
      </c>
      <c r="AR207">
        <v>0</v>
      </c>
      <c r="AS207">
        <v>0</v>
      </c>
      <c r="AT207">
        <v>0</v>
      </c>
      <c r="AU207">
        <v>0</v>
      </c>
      <c r="AV207">
        <v>0</v>
      </c>
      <c r="AW207">
        <v>0</v>
      </c>
      <c r="AX207">
        <v>0</v>
      </c>
      <c r="AY207">
        <v>0</v>
      </c>
      <c r="AZ207">
        <v>0</v>
      </c>
      <c r="BA207">
        <v>0</v>
      </c>
      <c r="BB207">
        <v>0</v>
      </c>
      <c r="BC207">
        <v>0</v>
      </c>
      <c r="BD207">
        <v>0</v>
      </c>
      <c r="BE207">
        <v>0</v>
      </c>
      <c r="BF207">
        <v>0</v>
      </c>
      <c r="BG207">
        <v>0</v>
      </c>
      <c r="BH207">
        <v>1</v>
      </c>
      <c r="BI207">
        <v>5</v>
      </c>
      <c r="BJ207">
        <v>11.7</v>
      </c>
      <c r="BK207">
        <v>12</v>
      </c>
      <c r="BL207">
        <v>144.49</v>
      </c>
      <c r="BM207">
        <v>21.67</v>
      </c>
      <c r="BN207">
        <v>166.16</v>
      </c>
      <c r="BO207">
        <v>166.16</v>
      </c>
      <c r="BQ207" t="s">
        <v>856</v>
      </c>
      <c r="BR207" t="s">
        <v>84</v>
      </c>
      <c r="BS207" s="3">
        <v>45883</v>
      </c>
      <c r="BT207" s="4">
        <v>0.4375</v>
      </c>
      <c r="BU207" t="s">
        <v>857</v>
      </c>
      <c r="BV207" t="s">
        <v>86</v>
      </c>
      <c r="BY207">
        <v>58311</v>
      </c>
      <c r="CC207" t="s">
        <v>80</v>
      </c>
      <c r="CD207" s="5" t="s">
        <v>237</v>
      </c>
      <c r="CE207" t="s">
        <v>89</v>
      </c>
      <c r="CF207" s="3">
        <v>45883</v>
      </c>
      <c r="CI207">
        <v>3</v>
      </c>
      <c r="CJ207">
        <v>2</v>
      </c>
      <c r="CK207">
        <v>41</v>
      </c>
      <c r="CL207" t="s">
        <v>90</v>
      </c>
    </row>
    <row r="208" spans="1:90" x14ac:dyDescent="0.3">
      <c r="A208" t="s">
        <v>72</v>
      </c>
      <c r="B208" t="s">
        <v>73</v>
      </c>
      <c r="C208" t="s">
        <v>74</v>
      </c>
      <c r="E208" t="str">
        <f>"GAB2027849"</f>
        <v>GAB2027849</v>
      </c>
      <c r="F208" s="3">
        <v>45881</v>
      </c>
      <c r="G208">
        <v>202605</v>
      </c>
      <c r="H208" t="s">
        <v>75</v>
      </c>
      <c r="I208" t="s">
        <v>76</v>
      </c>
      <c r="J208" t="s">
        <v>77</v>
      </c>
      <c r="K208" t="s">
        <v>78</v>
      </c>
      <c r="L208" t="s">
        <v>858</v>
      </c>
      <c r="M208" t="s">
        <v>859</v>
      </c>
      <c r="N208" t="s">
        <v>860</v>
      </c>
      <c r="O208" t="s">
        <v>82</v>
      </c>
      <c r="P208" t="str">
        <f>"INV-0120104 CT096601          "</f>
        <v xml:space="preserve">INV-0120104 CT096601          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5.87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62.96</v>
      </c>
      <c r="AR208">
        <v>0</v>
      </c>
      <c r="AS208">
        <v>0</v>
      </c>
      <c r="AT208">
        <v>0</v>
      </c>
      <c r="AU208">
        <v>0</v>
      </c>
      <c r="AV208">
        <v>0</v>
      </c>
      <c r="AW208">
        <v>0</v>
      </c>
      <c r="AX208">
        <v>0</v>
      </c>
      <c r="AY208">
        <v>0</v>
      </c>
      <c r="AZ208">
        <v>0</v>
      </c>
      <c r="BA208">
        <v>0</v>
      </c>
      <c r="BB208">
        <v>0</v>
      </c>
      <c r="BC208">
        <v>0</v>
      </c>
      <c r="BD208">
        <v>0</v>
      </c>
      <c r="BE208">
        <v>0</v>
      </c>
      <c r="BF208">
        <v>0</v>
      </c>
      <c r="BG208">
        <v>0</v>
      </c>
      <c r="BH208">
        <v>1</v>
      </c>
      <c r="BI208">
        <v>5</v>
      </c>
      <c r="BJ208">
        <v>12.9</v>
      </c>
      <c r="BK208">
        <v>13</v>
      </c>
      <c r="BL208">
        <v>201.38</v>
      </c>
      <c r="BM208">
        <v>30.21</v>
      </c>
      <c r="BN208">
        <v>231.59</v>
      </c>
      <c r="BO208">
        <v>231.59</v>
      </c>
      <c r="BQ208" t="s">
        <v>861</v>
      </c>
      <c r="BR208" t="s">
        <v>84</v>
      </c>
      <c r="BS208" s="3">
        <v>45883</v>
      </c>
      <c r="BT208" s="4">
        <v>0.34513888888888888</v>
      </c>
      <c r="BU208" t="s">
        <v>862</v>
      </c>
      <c r="BV208" t="s">
        <v>86</v>
      </c>
      <c r="BY208">
        <v>64380</v>
      </c>
      <c r="CA208" t="s">
        <v>863</v>
      </c>
      <c r="CC208" t="s">
        <v>859</v>
      </c>
      <c r="CD208">
        <v>3900</v>
      </c>
      <c r="CE208" t="s">
        <v>386</v>
      </c>
      <c r="CF208" s="3">
        <v>45883</v>
      </c>
      <c r="CI208">
        <v>4</v>
      </c>
      <c r="CJ208">
        <v>2</v>
      </c>
      <c r="CK208">
        <v>43</v>
      </c>
      <c r="CL208" t="s">
        <v>90</v>
      </c>
    </row>
    <row r="209" spans="1:90" x14ac:dyDescent="0.3">
      <c r="A209" t="s">
        <v>72</v>
      </c>
      <c r="B209" t="s">
        <v>73</v>
      </c>
      <c r="C209" t="s">
        <v>74</v>
      </c>
      <c r="E209" t="str">
        <f>"GAB2027851"</f>
        <v>GAB2027851</v>
      </c>
      <c r="F209" s="3">
        <v>45881</v>
      </c>
      <c r="G209">
        <v>202605</v>
      </c>
      <c r="H209" t="s">
        <v>75</v>
      </c>
      <c r="I209" t="s">
        <v>76</v>
      </c>
      <c r="J209" t="s">
        <v>77</v>
      </c>
      <c r="K209" t="s">
        <v>78</v>
      </c>
      <c r="L209" t="s">
        <v>864</v>
      </c>
      <c r="M209" t="s">
        <v>865</v>
      </c>
      <c r="N209" t="s">
        <v>866</v>
      </c>
      <c r="O209" t="s">
        <v>82</v>
      </c>
      <c r="P209" t="str">
        <f>"INV-00120094 CT096539         "</f>
        <v xml:space="preserve">INV-00120094 CT096539         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5.87</v>
      </c>
      <c r="AH209">
        <v>0</v>
      </c>
      <c r="AI209">
        <v>0</v>
      </c>
      <c r="AJ209">
        <v>0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72.61</v>
      </c>
      <c r="AR209">
        <v>0</v>
      </c>
      <c r="AS209">
        <v>0</v>
      </c>
      <c r="AT209">
        <v>0</v>
      </c>
      <c r="AU209">
        <v>0</v>
      </c>
      <c r="AV209">
        <v>0</v>
      </c>
      <c r="AW209">
        <v>0</v>
      </c>
      <c r="AX209">
        <v>0</v>
      </c>
      <c r="AY209">
        <v>0</v>
      </c>
      <c r="AZ209">
        <v>0</v>
      </c>
      <c r="BA209">
        <v>0</v>
      </c>
      <c r="BB209">
        <v>0</v>
      </c>
      <c r="BC209">
        <v>0</v>
      </c>
      <c r="BD209">
        <v>0</v>
      </c>
      <c r="BE209">
        <v>0</v>
      </c>
      <c r="BF209">
        <v>0</v>
      </c>
      <c r="BG209">
        <v>0</v>
      </c>
      <c r="BH209">
        <v>1</v>
      </c>
      <c r="BI209">
        <v>5</v>
      </c>
      <c r="BJ209">
        <v>17.3</v>
      </c>
      <c r="BK209">
        <v>18</v>
      </c>
      <c r="BL209">
        <v>231.34</v>
      </c>
      <c r="BM209">
        <v>34.700000000000003</v>
      </c>
      <c r="BN209">
        <v>266.04000000000002</v>
      </c>
      <c r="BO209">
        <v>266.04000000000002</v>
      </c>
      <c r="BQ209" t="s">
        <v>867</v>
      </c>
      <c r="BR209" t="s">
        <v>84</v>
      </c>
      <c r="BS209" s="3">
        <v>45882</v>
      </c>
      <c r="BT209" s="4">
        <v>0.45833333333333331</v>
      </c>
      <c r="BU209" t="s">
        <v>868</v>
      </c>
      <c r="BV209" t="s">
        <v>86</v>
      </c>
      <c r="BY209">
        <v>86715</v>
      </c>
      <c r="CA209" t="s">
        <v>869</v>
      </c>
      <c r="CC209" t="s">
        <v>865</v>
      </c>
      <c r="CD209">
        <v>6620</v>
      </c>
      <c r="CE209" t="s">
        <v>89</v>
      </c>
      <c r="CF209" s="3">
        <v>45882</v>
      </c>
      <c r="CI209">
        <v>1</v>
      </c>
      <c r="CJ209">
        <v>1</v>
      </c>
      <c r="CK209">
        <v>43</v>
      </c>
      <c r="CL209" t="s">
        <v>90</v>
      </c>
    </row>
    <row r="210" spans="1:90" x14ac:dyDescent="0.3">
      <c r="A210" t="s">
        <v>72</v>
      </c>
      <c r="B210" t="s">
        <v>73</v>
      </c>
      <c r="C210" t="s">
        <v>74</v>
      </c>
      <c r="E210" t="str">
        <f>"GAB2027817"</f>
        <v>GAB2027817</v>
      </c>
      <c r="F210" s="3">
        <v>45881</v>
      </c>
      <c r="G210">
        <v>202605</v>
      </c>
      <c r="H210" t="s">
        <v>75</v>
      </c>
      <c r="I210" t="s">
        <v>76</v>
      </c>
      <c r="J210" t="s">
        <v>77</v>
      </c>
      <c r="K210" t="s">
        <v>78</v>
      </c>
      <c r="L210" t="s">
        <v>75</v>
      </c>
      <c r="M210" t="s">
        <v>76</v>
      </c>
      <c r="N210" t="s">
        <v>802</v>
      </c>
      <c r="O210" t="s">
        <v>100</v>
      </c>
      <c r="P210" t="str">
        <f>"INV-00120045 CT096553         "</f>
        <v xml:space="preserve">INV-00120045 CT096553         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18.03</v>
      </c>
      <c r="AR210">
        <v>0</v>
      </c>
      <c r="AS210">
        <v>0</v>
      </c>
      <c r="AT210">
        <v>0</v>
      </c>
      <c r="AU210">
        <v>0</v>
      </c>
      <c r="AV210">
        <v>0</v>
      </c>
      <c r="AW210">
        <v>0</v>
      </c>
      <c r="AX210">
        <v>0</v>
      </c>
      <c r="AY210">
        <v>0</v>
      </c>
      <c r="AZ210">
        <v>0</v>
      </c>
      <c r="BA210">
        <v>0</v>
      </c>
      <c r="BB210">
        <v>0</v>
      </c>
      <c r="BC210">
        <v>0</v>
      </c>
      <c r="BD210">
        <v>0</v>
      </c>
      <c r="BE210">
        <v>0</v>
      </c>
      <c r="BF210">
        <v>0</v>
      </c>
      <c r="BG210">
        <v>0</v>
      </c>
      <c r="BH210">
        <v>1</v>
      </c>
      <c r="BI210">
        <v>1</v>
      </c>
      <c r="BJ210">
        <v>2.4</v>
      </c>
      <c r="BK210">
        <v>3</v>
      </c>
      <c r="BL210">
        <v>55.99</v>
      </c>
      <c r="BM210">
        <v>8.4</v>
      </c>
      <c r="BN210">
        <v>64.39</v>
      </c>
      <c r="BO210">
        <v>64.39</v>
      </c>
      <c r="BQ210" t="s">
        <v>870</v>
      </c>
      <c r="BR210" t="s">
        <v>84</v>
      </c>
      <c r="BS210" s="3">
        <v>45882</v>
      </c>
      <c r="BT210" s="4">
        <v>0.41666666666666669</v>
      </c>
      <c r="BU210" t="s">
        <v>871</v>
      </c>
      <c r="BV210" t="s">
        <v>86</v>
      </c>
      <c r="BY210">
        <v>12000</v>
      </c>
      <c r="BZ210" t="s">
        <v>102</v>
      </c>
      <c r="CC210" t="s">
        <v>76</v>
      </c>
      <c r="CD210">
        <v>8001</v>
      </c>
      <c r="CE210" t="s">
        <v>109</v>
      </c>
      <c r="CF210" s="3">
        <v>45883</v>
      </c>
      <c r="CI210">
        <v>1</v>
      </c>
      <c r="CJ210">
        <v>1</v>
      </c>
      <c r="CK210">
        <v>22</v>
      </c>
      <c r="CL210" t="s">
        <v>90</v>
      </c>
    </row>
    <row r="211" spans="1:90" x14ac:dyDescent="0.3">
      <c r="A211" t="s">
        <v>72</v>
      </c>
      <c r="B211" t="s">
        <v>73</v>
      </c>
      <c r="C211" t="s">
        <v>74</v>
      </c>
      <c r="E211" t="str">
        <f>"GAB2027818"</f>
        <v>GAB2027818</v>
      </c>
      <c r="F211" s="3">
        <v>45881</v>
      </c>
      <c r="G211">
        <v>202605</v>
      </c>
      <c r="H211" t="s">
        <v>75</v>
      </c>
      <c r="I211" t="s">
        <v>76</v>
      </c>
      <c r="J211" t="s">
        <v>77</v>
      </c>
      <c r="K211" t="s">
        <v>78</v>
      </c>
      <c r="L211" t="s">
        <v>159</v>
      </c>
      <c r="M211" t="s">
        <v>159</v>
      </c>
      <c r="N211" t="s">
        <v>160</v>
      </c>
      <c r="O211" t="s">
        <v>100</v>
      </c>
      <c r="P211" t="str">
        <f>"INV-00120055 CT096551         "</f>
        <v xml:space="preserve">INV-00120055 CT096551         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0</v>
      </c>
      <c r="AQ211">
        <v>40.369999999999997</v>
      </c>
      <c r="AR211">
        <v>0</v>
      </c>
      <c r="AS211">
        <v>0</v>
      </c>
      <c r="AT211">
        <v>0</v>
      </c>
      <c r="AU211">
        <v>0</v>
      </c>
      <c r="AV211">
        <v>0</v>
      </c>
      <c r="AW211">
        <v>0</v>
      </c>
      <c r="AX211">
        <v>0</v>
      </c>
      <c r="AY211">
        <v>0</v>
      </c>
      <c r="AZ211">
        <v>0</v>
      </c>
      <c r="BA211">
        <v>0</v>
      </c>
      <c r="BB211">
        <v>0</v>
      </c>
      <c r="BC211">
        <v>0</v>
      </c>
      <c r="BD211">
        <v>0</v>
      </c>
      <c r="BE211">
        <v>0</v>
      </c>
      <c r="BF211">
        <v>0</v>
      </c>
      <c r="BG211">
        <v>0</v>
      </c>
      <c r="BH211">
        <v>1</v>
      </c>
      <c r="BI211">
        <v>1</v>
      </c>
      <c r="BJ211">
        <v>2.4</v>
      </c>
      <c r="BK211">
        <v>2.5</v>
      </c>
      <c r="BL211">
        <v>125.36</v>
      </c>
      <c r="BM211">
        <v>18.8</v>
      </c>
      <c r="BN211">
        <v>144.16</v>
      </c>
      <c r="BO211">
        <v>144.16</v>
      </c>
      <c r="BQ211" t="s">
        <v>161</v>
      </c>
      <c r="BR211" t="s">
        <v>84</v>
      </c>
      <c r="BS211" s="3">
        <v>45882</v>
      </c>
      <c r="BT211" s="4">
        <v>0.61805555555555558</v>
      </c>
      <c r="BU211" t="s">
        <v>872</v>
      </c>
      <c r="BV211" t="s">
        <v>90</v>
      </c>
      <c r="BW211" t="s">
        <v>156</v>
      </c>
      <c r="BX211" t="s">
        <v>350</v>
      </c>
      <c r="BY211">
        <v>12000</v>
      </c>
      <c r="BZ211" t="s">
        <v>102</v>
      </c>
      <c r="CC211" t="s">
        <v>159</v>
      </c>
      <c r="CD211">
        <v>7646</v>
      </c>
      <c r="CE211" t="s">
        <v>573</v>
      </c>
      <c r="CF211" s="3">
        <v>45888</v>
      </c>
      <c r="CI211">
        <v>1</v>
      </c>
      <c r="CJ211">
        <v>1</v>
      </c>
      <c r="CK211">
        <v>24</v>
      </c>
      <c r="CL211" t="s">
        <v>90</v>
      </c>
    </row>
    <row r="212" spans="1:90" x14ac:dyDescent="0.3">
      <c r="A212" t="s">
        <v>72</v>
      </c>
      <c r="B212" t="s">
        <v>73</v>
      </c>
      <c r="C212" t="s">
        <v>74</v>
      </c>
      <c r="E212" t="str">
        <f>"GAB2027819"</f>
        <v>GAB2027819</v>
      </c>
      <c r="F212" s="3">
        <v>45881</v>
      </c>
      <c r="G212">
        <v>202605</v>
      </c>
      <c r="H212" t="s">
        <v>75</v>
      </c>
      <c r="I212" t="s">
        <v>76</v>
      </c>
      <c r="J212" t="s">
        <v>77</v>
      </c>
      <c r="K212" t="s">
        <v>78</v>
      </c>
      <c r="L212" t="s">
        <v>75</v>
      </c>
      <c r="M212" t="s">
        <v>76</v>
      </c>
      <c r="N212" t="s">
        <v>243</v>
      </c>
      <c r="O212" t="s">
        <v>100</v>
      </c>
      <c r="P212" t="str">
        <f>"INV-00120064 CTG096563        "</f>
        <v xml:space="preserve">INV-00120064 CTG096563        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18.03</v>
      </c>
      <c r="AR212">
        <v>0</v>
      </c>
      <c r="AS212">
        <v>0</v>
      </c>
      <c r="AT212">
        <v>0</v>
      </c>
      <c r="AU212">
        <v>0</v>
      </c>
      <c r="AV212">
        <v>0</v>
      </c>
      <c r="AW212">
        <v>0</v>
      </c>
      <c r="AX212">
        <v>0</v>
      </c>
      <c r="AY212">
        <v>0</v>
      </c>
      <c r="AZ212">
        <v>0</v>
      </c>
      <c r="BA212">
        <v>0</v>
      </c>
      <c r="BB212">
        <v>0</v>
      </c>
      <c r="BC212">
        <v>0</v>
      </c>
      <c r="BD212">
        <v>0</v>
      </c>
      <c r="BE212">
        <v>0</v>
      </c>
      <c r="BF212">
        <v>0</v>
      </c>
      <c r="BG212">
        <v>0</v>
      </c>
      <c r="BH212">
        <v>1</v>
      </c>
      <c r="BI212">
        <v>1</v>
      </c>
      <c r="BJ212">
        <v>1.7</v>
      </c>
      <c r="BK212">
        <v>2</v>
      </c>
      <c r="BL212">
        <v>55.99</v>
      </c>
      <c r="BM212">
        <v>8.4</v>
      </c>
      <c r="BN212">
        <v>64.39</v>
      </c>
      <c r="BO212">
        <v>64.39</v>
      </c>
      <c r="BQ212" t="s">
        <v>244</v>
      </c>
      <c r="BR212" t="s">
        <v>84</v>
      </c>
      <c r="BS212" s="3">
        <v>45882</v>
      </c>
      <c r="BT212" s="4">
        <v>0.41180555555555554</v>
      </c>
      <c r="BU212" t="s">
        <v>155</v>
      </c>
      <c r="BV212" t="s">
        <v>86</v>
      </c>
      <c r="BY212">
        <v>8448</v>
      </c>
      <c r="BZ212" t="s">
        <v>102</v>
      </c>
      <c r="CA212" t="s">
        <v>424</v>
      </c>
      <c r="CC212" t="s">
        <v>76</v>
      </c>
      <c r="CD212">
        <v>7800</v>
      </c>
      <c r="CE212" t="s">
        <v>873</v>
      </c>
      <c r="CF212" s="3">
        <v>45883</v>
      </c>
      <c r="CI212">
        <v>1</v>
      </c>
      <c r="CJ212">
        <v>1</v>
      </c>
      <c r="CK212">
        <v>22</v>
      </c>
      <c r="CL212" t="s">
        <v>90</v>
      </c>
    </row>
    <row r="213" spans="1:90" x14ac:dyDescent="0.3">
      <c r="A213" t="s">
        <v>72</v>
      </c>
      <c r="B213" t="s">
        <v>73</v>
      </c>
      <c r="C213" t="s">
        <v>74</v>
      </c>
      <c r="E213" t="str">
        <f>"GAB2027820"</f>
        <v>GAB2027820</v>
      </c>
      <c r="F213" s="3">
        <v>45881</v>
      </c>
      <c r="G213">
        <v>202605</v>
      </c>
      <c r="H213" t="s">
        <v>75</v>
      </c>
      <c r="I213" t="s">
        <v>76</v>
      </c>
      <c r="J213" t="s">
        <v>77</v>
      </c>
      <c r="K213" t="s">
        <v>78</v>
      </c>
      <c r="L213" t="s">
        <v>126</v>
      </c>
      <c r="M213" t="s">
        <v>127</v>
      </c>
      <c r="N213" t="s">
        <v>814</v>
      </c>
      <c r="O213" t="s">
        <v>100</v>
      </c>
      <c r="P213" t="str">
        <f>"INV-00120057 CT096573         "</f>
        <v xml:space="preserve">INV-00120057 CT096573         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18.03</v>
      </c>
      <c r="AR213">
        <v>0</v>
      </c>
      <c r="AS213">
        <v>0</v>
      </c>
      <c r="AT213">
        <v>0</v>
      </c>
      <c r="AU213">
        <v>0</v>
      </c>
      <c r="AV213">
        <v>0</v>
      </c>
      <c r="AW213">
        <v>0</v>
      </c>
      <c r="AX213">
        <v>0</v>
      </c>
      <c r="AY213">
        <v>0</v>
      </c>
      <c r="AZ213">
        <v>0</v>
      </c>
      <c r="BA213">
        <v>0</v>
      </c>
      <c r="BB213">
        <v>0</v>
      </c>
      <c r="BC213">
        <v>0</v>
      </c>
      <c r="BD213">
        <v>0</v>
      </c>
      <c r="BE213">
        <v>0</v>
      </c>
      <c r="BF213">
        <v>0</v>
      </c>
      <c r="BG213">
        <v>0</v>
      </c>
      <c r="BH213">
        <v>1</v>
      </c>
      <c r="BI213">
        <v>1</v>
      </c>
      <c r="BJ213">
        <v>1.7</v>
      </c>
      <c r="BK213">
        <v>2</v>
      </c>
      <c r="BL213">
        <v>55.99</v>
      </c>
      <c r="BM213">
        <v>8.4</v>
      </c>
      <c r="BN213">
        <v>64.39</v>
      </c>
      <c r="BO213">
        <v>64.39</v>
      </c>
      <c r="BQ213" t="s">
        <v>193</v>
      </c>
      <c r="BR213" t="s">
        <v>84</v>
      </c>
      <c r="BS213" s="3">
        <v>45882</v>
      </c>
      <c r="BT213" s="4">
        <v>0.42430555555555555</v>
      </c>
      <c r="BU213" t="s">
        <v>874</v>
      </c>
      <c r="BV213" t="s">
        <v>86</v>
      </c>
      <c r="BY213">
        <v>8448</v>
      </c>
      <c r="BZ213" t="s">
        <v>102</v>
      </c>
      <c r="CA213" t="s">
        <v>692</v>
      </c>
      <c r="CC213" t="s">
        <v>127</v>
      </c>
      <c r="CD213">
        <v>7600</v>
      </c>
      <c r="CE213" t="s">
        <v>703</v>
      </c>
      <c r="CF213" s="3">
        <v>45883</v>
      </c>
      <c r="CI213">
        <v>1</v>
      </c>
      <c r="CJ213">
        <v>1</v>
      </c>
      <c r="CK213">
        <v>22</v>
      </c>
      <c r="CL213" t="s">
        <v>90</v>
      </c>
    </row>
    <row r="214" spans="1:90" x14ac:dyDescent="0.3">
      <c r="A214" t="s">
        <v>72</v>
      </c>
      <c r="B214" t="s">
        <v>73</v>
      </c>
      <c r="C214" t="s">
        <v>74</v>
      </c>
      <c r="E214" t="str">
        <f>"GAB2027822"</f>
        <v>GAB2027822</v>
      </c>
      <c r="F214" s="3">
        <v>45881</v>
      </c>
      <c r="G214">
        <v>202605</v>
      </c>
      <c r="H214" t="s">
        <v>75</v>
      </c>
      <c r="I214" t="s">
        <v>76</v>
      </c>
      <c r="J214" t="s">
        <v>77</v>
      </c>
      <c r="K214" t="s">
        <v>78</v>
      </c>
      <c r="L214" t="s">
        <v>875</v>
      </c>
      <c r="M214" t="s">
        <v>876</v>
      </c>
      <c r="N214" t="s">
        <v>877</v>
      </c>
      <c r="O214" t="s">
        <v>100</v>
      </c>
      <c r="P214" t="str">
        <f>"INV-00120079 CT096579         "</f>
        <v xml:space="preserve">INV-00120079 CT096579         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28.85</v>
      </c>
      <c r="AR214">
        <v>0</v>
      </c>
      <c r="AS214">
        <v>0</v>
      </c>
      <c r="AT214">
        <v>0</v>
      </c>
      <c r="AU214">
        <v>0</v>
      </c>
      <c r="AV214">
        <v>0</v>
      </c>
      <c r="AW214">
        <v>0</v>
      </c>
      <c r="AX214">
        <v>0</v>
      </c>
      <c r="AY214">
        <v>0</v>
      </c>
      <c r="AZ214">
        <v>0</v>
      </c>
      <c r="BA214">
        <v>0</v>
      </c>
      <c r="BB214">
        <v>0</v>
      </c>
      <c r="BC214">
        <v>0</v>
      </c>
      <c r="BD214">
        <v>0</v>
      </c>
      <c r="BE214">
        <v>0</v>
      </c>
      <c r="BF214">
        <v>0</v>
      </c>
      <c r="BG214">
        <v>0</v>
      </c>
      <c r="BH214">
        <v>1</v>
      </c>
      <c r="BI214">
        <v>1</v>
      </c>
      <c r="BJ214">
        <v>2.4</v>
      </c>
      <c r="BK214">
        <v>2.5</v>
      </c>
      <c r="BL214">
        <v>89.59</v>
      </c>
      <c r="BM214">
        <v>13.44</v>
      </c>
      <c r="BN214">
        <v>103.03</v>
      </c>
      <c r="BO214">
        <v>103.03</v>
      </c>
      <c r="BQ214" t="s">
        <v>878</v>
      </c>
      <c r="BR214" t="s">
        <v>84</v>
      </c>
      <c r="BS214" s="3">
        <v>45882</v>
      </c>
      <c r="BT214" s="4">
        <v>0.4375</v>
      </c>
      <c r="BU214" t="s">
        <v>879</v>
      </c>
      <c r="BV214" t="s">
        <v>86</v>
      </c>
      <c r="BY214">
        <v>12000</v>
      </c>
      <c r="BZ214" t="s">
        <v>102</v>
      </c>
      <c r="CA214" t="s">
        <v>880</v>
      </c>
      <c r="CC214" t="s">
        <v>876</v>
      </c>
      <c r="CD214">
        <v>6529</v>
      </c>
      <c r="CE214" t="s">
        <v>109</v>
      </c>
      <c r="CF214" s="3">
        <v>45883</v>
      </c>
      <c r="CI214">
        <v>1</v>
      </c>
      <c r="CJ214">
        <v>1</v>
      </c>
      <c r="CK214">
        <v>21</v>
      </c>
      <c r="CL214" t="s">
        <v>90</v>
      </c>
    </row>
    <row r="215" spans="1:90" x14ac:dyDescent="0.3">
      <c r="A215" t="s">
        <v>72</v>
      </c>
      <c r="B215" t="s">
        <v>73</v>
      </c>
      <c r="C215" t="s">
        <v>74</v>
      </c>
      <c r="E215" t="str">
        <f>"GAB2027823"</f>
        <v>GAB2027823</v>
      </c>
      <c r="F215" s="3">
        <v>45881</v>
      </c>
      <c r="G215">
        <v>202605</v>
      </c>
      <c r="H215" t="s">
        <v>75</v>
      </c>
      <c r="I215" t="s">
        <v>76</v>
      </c>
      <c r="J215" t="s">
        <v>77</v>
      </c>
      <c r="K215" t="s">
        <v>78</v>
      </c>
      <c r="L215" t="s">
        <v>137</v>
      </c>
      <c r="M215" t="s">
        <v>138</v>
      </c>
      <c r="N215" t="s">
        <v>881</v>
      </c>
      <c r="O215" t="s">
        <v>100</v>
      </c>
      <c r="P215" t="str">
        <f>"INV-00120083 CT096585         "</f>
        <v xml:space="preserve">INV-00120083 CT096585         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40.369999999999997</v>
      </c>
      <c r="AR215">
        <v>0</v>
      </c>
      <c r="AS215">
        <v>0</v>
      </c>
      <c r="AT215">
        <v>0</v>
      </c>
      <c r="AU215">
        <v>0</v>
      </c>
      <c r="AV215">
        <v>0</v>
      </c>
      <c r="AW215">
        <v>0</v>
      </c>
      <c r="AX215">
        <v>0</v>
      </c>
      <c r="AY215">
        <v>0</v>
      </c>
      <c r="AZ215">
        <v>0</v>
      </c>
      <c r="BA215">
        <v>0</v>
      </c>
      <c r="BB215">
        <v>0</v>
      </c>
      <c r="BC215">
        <v>0</v>
      </c>
      <c r="BD215">
        <v>0</v>
      </c>
      <c r="BE215">
        <v>0</v>
      </c>
      <c r="BF215">
        <v>0</v>
      </c>
      <c r="BG215">
        <v>0</v>
      </c>
      <c r="BH215">
        <v>1</v>
      </c>
      <c r="BI215">
        <v>1</v>
      </c>
      <c r="BJ215">
        <v>2.4</v>
      </c>
      <c r="BK215">
        <v>2.5</v>
      </c>
      <c r="BL215">
        <v>125.36</v>
      </c>
      <c r="BM215">
        <v>18.8</v>
      </c>
      <c r="BN215">
        <v>144.16</v>
      </c>
      <c r="BO215">
        <v>144.16</v>
      </c>
      <c r="BQ215" t="s">
        <v>882</v>
      </c>
      <c r="BR215" t="s">
        <v>84</v>
      </c>
      <c r="BS215" s="3">
        <v>45882</v>
      </c>
      <c r="BT215" s="4">
        <v>0.47013888888888888</v>
      </c>
      <c r="BU215" t="s">
        <v>883</v>
      </c>
      <c r="BV215" t="s">
        <v>86</v>
      </c>
      <c r="BY215">
        <v>12000</v>
      </c>
      <c r="BZ215" t="s">
        <v>102</v>
      </c>
      <c r="CA215" t="s">
        <v>884</v>
      </c>
      <c r="CC215" t="s">
        <v>138</v>
      </c>
      <c r="CD215">
        <v>7140</v>
      </c>
      <c r="CE215" t="s">
        <v>104</v>
      </c>
      <c r="CF215" s="3">
        <v>45883</v>
      </c>
      <c r="CI215">
        <v>1</v>
      </c>
      <c r="CJ215">
        <v>1</v>
      </c>
      <c r="CK215">
        <v>24</v>
      </c>
      <c r="CL215" t="s">
        <v>90</v>
      </c>
    </row>
    <row r="216" spans="1:90" x14ac:dyDescent="0.3">
      <c r="A216" t="s">
        <v>72</v>
      </c>
      <c r="B216" t="s">
        <v>73</v>
      </c>
      <c r="C216" t="s">
        <v>74</v>
      </c>
      <c r="E216" t="str">
        <f>"GAB2027824"</f>
        <v>GAB2027824</v>
      </c>
      <c r="F216" s="3">
        <v>45881</v>
      </c>
      <c r="G216">
        <v>202605</v>
      </c>
      <c r="H216" t="s">
        <v>75</v>
      </c>
      <c r="I216" t="s">
        <v>76</v>
      </c>
      <c r="J216" t="s">
        <v>77</v>
      </c>
      <c r="K216" t="s">
        <v>78</v>
      </c>
      <c r="L216" t="s">
        <v>91</v>
      </c>
      <c r="M216" t="s">
        <v>92</v>
      </c>
      <c r="N216" t="s">
        <v>537</v>
      </c>
      <c r="O216" t="s">
        <v>100</v>
      </c>
      <c r="P216" t="str">
        <f>"INV-00120082 CT096575         "</f>
        <v xml:space="preserve">INV-00120082 CT096575         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23.09</v>
      </c>
      <c r="AR216">
        <v>0</v>
      </c>
      <c r="AS216">
        <v>0</v>
      </c>
      <c r="AT216">
        <v>0</v>
      </c>
      <c r="AU216">
        <v>0</v>
      </c>
      <c r="AV216">
        <v>0</v>
      </c>
      <c r="AW216">
        <v>0</v>
      </c>
      <c r="AX216">
        <v>0</v>
      </c>
      <c r="AY216">
        <v>0</v>
      </c>
      <c r="AZ216">
        <v>0</v>
      </c>
      <c r="BA216">
        <v>0</v>
      </c>
      <c r="BB216">
        <v>0</v>
      </c>
      <c r="BC216">
        <v>0</v>
      </c>
      <c r="BD216">
        <v>0</v>
      </c>
      <c r="BE216">
        <v>0</v>
      </c>
      <c r="BF216">
        <v>0</v>
      </c>
      <c r="BG216">
        <v>0</v>
      </c>
      <c r="BH216">
        <v>1</v>
      </c>
      <c r="BI216">
        <v>1</v>
      </c>
      <c r="BJ216">
        <v>1.7</v>
      </c>
      <c r="BK216">
        <v>2</v>
      </c>
      <c r="BL216">
        <v>71.69</v>
      </c>
      <c r="BM216">
        <v>10.75</v>
      </c>
      <c r="BN216">
        <v>82.44</v>
      </c>
      <c r="BO216">
        <v>82.44</v>
      </c>
      <c r="BR216" t="s">
        <v>84</v>
      </c>
      <c r="BS216" s="3">
        <v>45883</v>
      </c>
      <c r="BT216" s="4">
        <v>0.58333333333333337</v>
      </c>
      <c r="BU216" t="s">
        <v>885</v>
      </c>
      <c r="BV216" t="s">
        <v>90</v>
      </c>
      <c r="BW216" t="s">
        <v>294</v>
      </c>
      <c r="BX216" t="s">
        <v>432</v>
      </c>
      <c r="BY216">
        <v>8448</v>
      </c>
      <c r="BZ216" t="s">
        <v>102</v>
      </c>
      <c r="CA216" t="s">
        <v>433</v>
      </c>
      <c r="CC216" t="s">
        <v>92</v>
      </c>
      <c r="CD216">
        <v>4001</v>
      </c>
      <c r="CE216" t="s">
        <v>703</v>
      </c>
      <c r="CF216" s="3">
        <v>45883</v>
      </c>
      <c r="CI216">
        <v>2</v>
      </c>
      <c r="CJ216">
        <v>2</v>
      </c>
      <c r="CK216">
        <v>21</v>
      </c>
      <c r="CL216" t="s">
        <v>90</v>
      </c>
    </row>
    <row r="217" spans="1:90" x14ac:dyDescent="0.3">
      <c r="A217" t="s">
        <v>72</v>
      </c>
      <c r="B217" t="s">
        <v>73</v>
      </c>
      <c r="C217" t="s">
        <v>74</v>
      </c>
      <c r="E217" t="str">
        <f>"GAB2027825"</f>
        <v>GAB2027825</v>
      </c>
      <c r="F217" s="3">
        <v>45881</v>
      </c>
      <c r="G217">
        <v>202605</v>
      </c>
      <c r="H217" t="s">
        <v>75</v>
      </c>
      <c r="I217" t="s">
        <v>76</v>
      </c>
      <c r="J217" t="s">
        <v>77</v>
      </c>
      <c r="K217" t="s">
        <v>78</v>
      </c>
      <c r="L217" t="s">
        <v>438</v>
      </c>
      <c r="M217" t="s">
        <v>439</v>
      </c>
      <c r="N217" t="s">
        <v>440</v>
      </c>
      <c r="O217" t="s">
        <v>100</v>
      </c>
      <c r="P217" t="str">
        <f>"INV-00120081 CT096582         "</f>
        <v xml:space="preserve">INV-00120081 CT096582         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28.85</v>
      </c>
      <c r="AR217">
        <v>0</v>
      </c>
      <c r="AS217">
        <v>0</v>
      </c>
      <c r="AT217">
        <v>0</v>
      </c>
      <c r="AU217">
        <v>0</v>
      </c>
      <c r="AV217">
        <v>0</v>
      </c>
      <c r="AW217">
        <v>16.739999999999998</v>
      </c>
      <c r="AX217">
        <v>0</v>
      </c>
      <c r="AY217">
        <v>0</v>
      </c>
      <c r="AZ217">
        <v>0</v>
      </c>
      <c r="BA217">
        <v>0</v>
      </c>
      <c r="BB217">
        <v>0</v>
      </c>
      <c r="BC217">
        <v>0</v>
      </c>
      <c r="BD217">
        <v>0</v>
      </c>
      <c r="BE217">
        <v>0</v>
      </c>
      <c r="BF217">
        <v>0</v>
      </c>
      <c r="BG217">
        <v>0</v>
      </c>
      <c r="BH217">
        <v>1</v>
      </c>
      <c r="BI217">
        <v>1</v>
      </c>
      <c r="BJ217">
        <v>2.4</v>
      </c>
      <c r="BK217">
        <v>2.5</v>
      </c>
      <c r="BL217">
        <v>106.33</v>
      </c>
      <c r="BM217">
        <v>15.95</v>
      </c>
      <c r="BN217">
        <v>122.28</v>
      </c>
      <c r="BO217">
        <v>122.28</v>
      </c>
      <c r="BQ217" t="s">
        <v>441</v>
      </c>
      <c r="BR217" t="s">
        <v>84</v>
      </c>
      <c r="BS217" s="3">
        <v>45882</v>
      </c>
      <c r="BT217" s="4">
        <v>0.40625</v>
      </c>
      <c r="BU217" t="s">
        <v>473</v>
      </c>
      <c r="BV217" t="s">
        <v>86</v>
      </c>
      <c r="BY217">
        <v>12000</v>
      </c>
      <c r="BZ217" t="s">
        <v>320</v>
      </c>
      <c r="CC217" t="s">
        <v>439</v>
      </c>
      <c r="CD217">
        <v>1475</v>
      </c>
      <c r="CE217" t="s">
        <v>886</v>
      </c>
      <c r="CF217" s="3">
        <v>45882</v>
      </c>
      <c r="CI217">
        <v>1</v>
      </c>
      <c r="CJ217">
        <v>1</v>
      </c>
      <c r="CK217">
        <v>21</v>
      </c>
      <c r="CL217" t="s">
        <v>90</v>
      </c>
    </row>
    <row r="218" spans="1:90" x14ac:dyDescent="0.3">
      <c r="A218" t="s">
        <v>72</v>
      </c>
      <c r="B218" t="s">
        <v>73</v>
      </c>
      <c r="C218" t="s">
        <v>74</v>
      </c>
      <c r="E218" t="str">
        <f>"GAB2027826"</f>
        <v>GAB2027826</v>
      </c>
      <c r="F218" s="3">
        <v>45881</v>
      </c>
      <c r="G218">
        <v>202605</v>
      </c>
      <c r="H218" t="s">
        <v>75</v>
      </c>
      <c r="I218" t="s">
        <v>76</v>
      </c>
      <c r="J218" t="s">
        <v>77</v>
      </c>
      <c r="K218" t="s">
        <v>78</v>
      </c>
      <c r="L218" t="s">
        <v>415</v>
      </c>
      <c r="M218" t="s">
        <v>416</v>
      </c>
      <c r="N218" t="s">
        <v>887</v>
      </c>
      <c r="O218" t="s">
        <v>100</v>
      </c>
      <c r="P218" t="str">
        <f>"INV-00120080 CT096581         "</f>
        <v xml:space="preserve">INV-00120080 CT096581         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46.15</v>
      </c>
      <c r="AR218">
        <v>0</v>
      </c>
      <c r="AS218">
        <v>0</v>
      </c>
      <c r="AT218">
        <v>0</v>
      </c>
      <c r="AU218">
        <v>0</v>
      </c>
      <c r="AV218">
        <v>0</v>
      </c>
      <c r="AW218">
        <v>16.739999999999998</v>
      </c>
      <c r="AX218">
        <v>0</v>
      </c>
      <c r="AY218">
        <v>0</v>
      </c>
      <c r="AZ218">
        <v>0</v>
      </c>
      <c r="BA218">
        <v>0</v>
      </c>
      <c r="BB218">
        <v>0</v>
      </c>
      <c r="BC218">
        <v>0</v>
      </c>
      <c r="BD218">
        <v>0</v>
      </c>
      <c r="BE218">
        <v>0</v>
      </c>
      <c r="BF218">
        <v>0</v>
      </c>
      <c r="BG218">
        <v>0</v>
      </c>
      <c r="BH218">
        <v>1</v>
      </c>
      <c r="BI218">
        <v>1</v>
      </c>
      <c r="BJ218">
        <v>3.8</v>
      </c>
      <c r="BK218">
        <v>4</v>
      </c>
      <c r="BL218">
        <v>160.05000000000001</v>
      </c>
      <c r="BM218">
        <v>24.01</v>
      </c>
      <c r="BN218">
        <v>184.06</v>
      </c>
      <c r="BO218">
        <v>184.06</v>
      </c>
      <c r="BQ218" t="s">
        <v>574</v>
      </c>
      <c r="BR218" t="s">
        <v>84</v>
      </c>
      <c r="BS218" s="3">
        <v>45883</v>
      </c>
      <c r="BT218" s="4">
        <v>0.47430555555555554</v>
      </c>
      <c r="BU218" t="s">
        <v>888</v>
      </c>
      <c r="BV218" t="s">
        <v>90</v>
      </c>
      <c r="BY218">
        <v>19200</v>
      </c>
      <c r="BZ218" t="s">
        <v>320</v>
      </c>
      <c r="CA218" t="s">
        <v>889</v>
      </c>
      <c r="CC218" t="s">
        <v>416</v>
      </c>
      <c r="CD218">
        <v>1863</v>
      </c>
      <c r="CE218" t="s">
        <v>143</v>
      </c>
      <c r="CF218" s="3">
        <v>45884</v>
      </c>
      <c r="CI218">
        <v>0</v>
      </c>
      <c r="CJ218">
        <v>0</v>
      </c>
      <c r="CK218">
        <v>21</v>
      </c>
      <c r="CL218" t="s">
        <v>90</v>
      </c>
    </row>
    <row r="219" spans="1:90" x14ac:dyDescent="0.3">
      <c r="A219" t="s">
        <v>72</v>
      </c>
      <c r="B219" t="s">
        <v>73</v>
      </c>
      <c r="C219" t="s">
        <v>74</v>
      </c>
      <c r="E219" t="str">
        <f>"GAB2027827"</f>
        <v>GAB2027827</v>
      </c>
      <c r="F219" s="3">
        <v>45881</v>
      </c>
      <c r="G219">
        <v>202605</v>
      </c>
      <c r="H219" t="s">
        <v>75</v>
      </c>
      <c r="I219" t="s">
        <v>76</v>
      </c>
      <c r="J219" t="s">
        <v>77</v>
      </c>
      <c r="K219" t="s">
        <v>78</v>
      </c>
      <c r="L219" t="s">
        <v>545</v>
      </c>
      <c r="M219" t="s">
        <v>546</v>
      </c>
      <c r="N219" t="s">
        <v>890</v>
      </c>
      <c r="O219" t="s">
        <v>100</v>
      </c>
      <c r="P219" t="str">
        <f>"INV-00038398 035374           "</f>
        <v xml:space="preserve">INV-00038398 035374           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0</v>
      </c>
      <c r="AM219">
        <v>0</v>
      </c>
      <c r="AN219">
        <v>0</v>
      </c>
      <c r="AO219">
        <v>0</v>
      </c>
      <c r="AP219">
        <v>0</v>
      </c>
      <c r="AQ219">
        <v>28.85</v>
      </c>
      <c r="AR219">
        <v>0</v>
      </c>
      <c r="AS219">
        <v>0</v>
      </c>
      <c r="AT219">
        <v>0</v>
      </c>
      <c r="AU219">
        <v>0</v>
      </c>
      <c r="AV219">
        <v>0</v>
      </c>
      <c r="AW219">
        <v>16.739999999999998</v>
      </c>
      <c r="AX219">
        <v>0</v>
      </c>
      <c r="AY219">
        <v>0</v>
      </c>
      <c r="AZ219">
        <v>0</v>
      </c>
      <c r="BA219">
        <v>0</v>
      </c>
      <c r="BB219">
        <v>0</v>
      </c>
      <c r="BC219">
        <v>0</v>
      </c>
      <c r="BD219">
        <v>0</v>
      </c>
      <c r="BE219">
        <v>0</v>
      </c>
      <c r="BF219">
        <v>0</v>
      </c>
      <c r="BG219">
        <v>0</v>
      </c>
      <c r="BH219">
        <v>1</v>
      </c>
      <c r="BI219">
        <v>1</v>
      </c>
      <c r="BJ219">
        <v>2.4</v>
      </c>
      <c r="BK219">
        <v>2.5</v>
      </c>
      <c r="BL219">
        <v>106.33</v>
      </c>
      <c r="BM219">
        <v>15.95</v>
      </c>
      <c r="BN219">
        <v>122.28</v>
      </c>
      <c r="BO219">
        <v>122.28</v>
      </c>
      <c r="BQ219" t="s">
        <v>135</v>
      </c>
      <c r="BR219" t="s">
        <v>84</v>
      </c>
      <c r="BS219" s="3">
        <v>45882</v>
      </c>
      <c r="BT219" s="4">
        <v>0.39652777777777776</v>
      </c>
      <c r="BU219" t="s">
        <v>891</v>
      </c>
      <c r="BV219" t="s">
        <v>86</v>
      </c>
      <c r="BY219">
        <v>12000</v>
      </c>
      <c r="BZ219" t="s">
        <v>320</v>
      </c>
      <c r="CA219" t="s">
        <v>778</v>
      </c>
      <c r="CC219" t="s">
        <v>546</v>
      </c>
      <c r="CD219">
        <v>1628</v>
      </c>
      <c r="CE219" t="s">
        <v>116</v>
      </c>
      <c r="CF219" s="3">
        <v>45883</v>
      </c>
      <c r="CI219">
        <v>1</v>
      </c>
      <c r="CJ219">
        <v>1</v>
      </c>
      <c r="CK219">
        <v>21</v>
      </c>
      <c r="CL219" t="s">
        <v>90</v>
      </c>
    </row>
    <row r="220" spans="1:90" x14ac:dyDescent="0.3">
      <c r="A220" t="s">
        <v>72</v>
      </c>
      <c r="B220" t="s">
        <v>73</v>
      </c>
      <c r="C220" t="s">
        <v>74</v>
      </c>
      <c r="E220" t="str">
        <f>"GAB2027828"</f>
        <v>GAB2027828</v>
      </c>
      <c r="F220" s="3">
        <v>45881</v>
      </c>
      <c r="G220">
        <v>202605</v>
      </c>
      <c r="H220" t="s">
        <v>75</v>
      </c>
      <c r="I220" t="s">
        <v>76</v>
      </c>
      <c r="J220" t="s">
        <v>77</v>
      </c>
      <c r="K220" t="s">
        <v>78</v>
      </c>
      <c r="L220" t="s">
        <v>415</v>
      </c>
      <c r="M220" t="s">
        <v>416</v>
      </c>
      <c r="N220" t="s">
        <v>892</v>
      </c>
      <c r="O220" t="s">
        <v>100</v>
      </c>
      <c r="P220" t="str">
        <f>"INV-00120070 CT096576         "</f>
        <v xml:space="preserve">INV-00120070 CT096576         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46.15</v>
      </c>
      <c r="AR220">
        <v>0</v>
      </c>
      <c r="AS220">
        <v>0</v>
      </c>
      <c r="AT220">
        <v>0</v>
      </c>
      <c r="AU220">
        <v>0</v>
      </c>
      <c r="AV220">
        <v>0</v>
      </c>
      <c r="AW220">
        <v>16.739999999999998</v>
      </c>
      <c r="AX220">
        <v>0</v>
      </c>
      <c r="AY220">
        <v>0</v>
      </c>
      <c r="AZ220">
        <v>0</v>
      </c>
      <c r="BA220">
        <v>0</v>
      </c>
      <c r="BB220">
        <v>0</v>
      </c>
      <c r="BC220">
        <v>0</v>
      </c>
      <c r="BD220">
        <v>0</v>
      </c>
      <c r="BE220">
        <v>0</v>
      </c>
      <c r="BF220">
        <v>0</v>
      </c>
      <c r="BG220">
        <v>0</v>
      </c>
      <c r="BH220">
        <v>1</v>
      </c>
      <c r="BI220">
        <v>1</v>
      </c>
      <c r="BJ220">
        <v>3.8</v>
      </c>
      <c r="BK220">
        <v>4</v>
      </c>
      <c r="BL220">
        <v>160.05000000000001</v>
      </c>
      <c r="BM220">
        <v>24.01</v>
      </c>
      <c r="BN220">
        <v>184.06</v>
      </c>
      <c r="BO220">
        <v>184.06</v>
      </c>
      <c r="BQ220" t="s">
        <v>893</v>
      </c>
      <c r="BR220" t="s">
        <v>84</v>
      </c>
      <c r="BS220" s="3">
        <v>45883</v>
      </c>
      <c r="BT220" s="4">
        <v>0.42499999999999999</v>
      </c>
      <c r="BU220" t="s">
        <v>894</v>
      </c>
      <c r="BV220" t="s">
        <v>90</v>
      </c>
      <c r="BW220" t="s">
        <v>895</v>
      </c>
      <c r="BX220" t="s">
        <v>690</v>
      </c>
      <c r="BY220">
        <v>19200</v>
      </c>
      <c r="BZ220" t="s">
        <v>320</v>
      </c>
      <c r="CA220" t="s">
        <v>896</v>
      </c>
      <c r="CC220" t="s">
        <v>416</v>
      </c>
      <c r="CD220">
        <v>1862</v>
      </c>
      <c r="CE220" t="s">
        <v>544</v>
      </c>
      <c r="CF220" s="3">
        <v>45884</v>
      </c>
      <c r="CI220">
        <v>0</v>
      </c>
      <c r="CJ220">
        <v>0</v>
      </c>
      <c r="CK220">
        <v>21</v>
      </c>
      <c r="CL220" t="s">
        <v>90</v>
      </c>
    </row>
    <row r="221" spans="1:90" x14ac:dyDescent="0.3">
      <c r="A221" t="s">
        <v>72</v>
      </c>
      <c r="B221" t="s">
        <v>73</v>
      </c>
      <c r="C221" t="s">
        <v>74</v>
      </c>
      <c r="E221" t="str">
        <f>"GAB2027829"</f>
        <v>GAB2027829</v>
      </c>
      <c r="F221" s="3">
        <v>45881</v>
      </c>
      <c r="G221">
        <v>202605</v>
      </c>
      <c r="H221" t="s">
        <v>75</v>
      </c>
      <c r="I221" t="s">
        <v>76</v>
      </c>
      <c r="J221" t="s">
        <v>77</v>
      </c>
      <c r="K221" t="s">
        <v>78</v>
      </c>
      <c r="L221" t="s">
        <v>298</v>
      </c>
      <c r="M221" t="s">
        <v>299</v>
      </c>
      <c r="N221" t="s">
        <v>300</v>
      </c>
      <c r="O221" t="s">
        <v>100</v>
      </c>
      <c r="P221" t="str">
        <f>"INV-00120072 CT096580         "</f>
        <v xml:space="preserve">INV-00120072 CT096580         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85.12</v>
      </c>
      <c r="AR221">
        <v>0</v>
      </c>
      <c r="AS221">
        <v>0</v>
      </c>
      <c r="AT221">
        <v>0</v>
      </c>
      <c r="AU221">
        <v>0</v>
      </c>
      <c r="AV221">
        <v>0</v>
      </c>
      <c r="AW221">
        <v>0</v>
      </c>
      <c r="AX221">
        <v>0</v>
      </c>
      <c r="AY221">
        <v>0</v>
      </c>
      <c r="AZ221">
        <v>0</v>
      </c>
      <c r="BA221">
        <v>0</v>
      </c>
      <c r="BB221">
        <v>0</v>
      </c>
      <c r="BC221">
        <v>0</v>
      </c>
      <c r="BD221">
        <v>0</v>
      </c>
      <c r="BE221">
        <v>0</v>
      </c>
      <c r="BF221">
        <v>0</v>
      </c>
      <c r="BG221">
        <v>0</v>
      </c>
      <c r="BH221">
        <v>1</v>
      </c>
      <c r="BI221">
        <v>1</v>
      </c>
      <c r="BJ221">
        <v>3.8</v>
      </c>
      <c r="BK221">
        <v>4</v>
      </c>
      <c r="BL221">
        <v>264.32</v>
      </c>
      <c r="BM221">
        <v>39.65</v>
      </c>
      <c r="BN221">
        <v>303.97000000000003</v>
      </c>
      <c r="BO221">
        <v>303.97000000000003</v>
      </c>
      <c r="BQ221" t="s">
        <v>301</v>
      </c>
      <c r="BR221" t="s">
        <v>84</v>
      </c>
      <c r="BS221" s="3">
        <v>45884</v>
      </c>
      <c r="BT221" s="4">
        <v>0.5395833333333333</v>
      </c>
      <c r="BU221" t="s">
        <v>897</v>
      </c>
      <c r="BV221" t="s">
        <v>86</v>
      </c>
      <c r="BY221">
        <v>19200</v>
      </c>
      <c r="BZ221" t="s">
        <v>102</v>
      </c>
      <c r="CA221" t="s">
        <v>898</v>
      </c>
      <c r="CC221" t="s">
        <v>299</v>
      </c>
      <c r="CD221">
        <v>8800</v>
      </c>
      <c r="CE221" t="s">
        <v>104</v>
      </c>
      <c r="CF221" s="3">
        <v>45887</v>
      </c>
      <c r="CI221">
        <v>3</v>
      </c>
      <c r="CJ221">
        <v>3</v>
      </c>
      <c r="CK221">
        <v>23</v>
      </c>
      <c r="CL221" t="s">
        <v>90</v>
      </c>
    </row>
    <row r="222" spans="1:90" x14ac:dyDescent="0.3">
      <c r="A222" t="s">
        <v>72</v>
      </c>
      <c r="B222" t="s">
        <v>73</v>
      </c>
      <c r="C222" t="s">
        <v>74</v>
      </c>
      <c r="E222" t="str">
        <f>"GAB2027831"</f>
        <v>GAB2027831</v>
      </c>
      <c r="F222" s="3">
        <v>45881</v>
      </c>
      <c r="G222">
        <v>202605</v>
      </c>
      <c r="H222" t="s">
        <v>75</v>
      </c>
      <c r="I222" t="s">
        <v>76</v>
      </c>
      <c r="J222" t="s">
        <v>77</v>
      </c>
      <c r="K222" t="s">
        <v>78</v>
      </c>
      <c r="L222" t="s">
        <v>190</v>
      </c>
      <c r="M222" t="s">
        <v>191</v>
      </c>
      <c r="N222" t="s">
        <v>257</v>
      </c>
      <c r="O222" t="s">
        <v>100</v>
      </c>
      <c r="P222" t="str">
        <f>"INV-00120076 0120077 CT096578 "</f>
        <v xml:space="preserve">INV-00120076 0120077 CT096578 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0</v>
      </c>
      <c r="AN222">
        <v>0</v>
      </c>
      <c r="AO222">
        <v>0</v>
      </c>
      <c r="AP222">
        <v>0</v>
      </c>
      <c r="AQ222">
        <v>74.98</v>
      </c>
      <c r="AR222">
        <v>0</v>
      </c>
      <c r="AS222">
        <v>0</v>
      </c>
      <c r="AT222">
        <v>0</v>
      </c>
      <c r="AU222">
        <v>0</v>
      </c>
      <c r="AV222">
        <v>0</v>
      </c>
      <c r="AW222">
        <v>0</v>
      </c>
      <c r="AX222">
        <v>0</v>
      </c>
      <c r="AY222">
        <v>0</v>
      </c>
      <c r="AZ222">
        <v>0</v>
      </c>
      <c r="BA222">
        <v>0</v>
      </c>
      <c r="BB222">
        <v>0</v>
      </c>
      <c r="BC222">
        <v>0</v>
      </c>
      <c r="BD222">
        <v>0</v>
      </c>
      <c r="BE222">
        <v>0</v>
      </c>
      <c r="BF222">
        <v>0</v>
      </c>
      <c r="BG222">
        <v>0</v>
      </c>
      <c r="BH222">
        <v>1</v>
      </c>
      <c r="BI222">
        <v>3</v>
      </c>
      <c r="BJ222">
        <v>6.1</v>
      </c>
      <c r="BK222">
        <v>6.5</v>
      </c>
      <c r="BL222">
        <v>232.84</v>
      </c>
      <c r="BM222">
        <v>34.93</v>
      </c>
      <c r="BN222">
        <v>267.77</v>
      </c>
      <c r="BO222">
        <v>267.77</v>
      </c>
      <c r="BQ222" t="s">
        <v>593</v>
      </c>
      <c r="BR222" t="s">
        <v>84</v>
      </c>
      <c r="BS222" s="3">
        <v>45883</v>
      </c>
      <c r="BT222" s="4">
        <v>0.38541666666666669</v>
      </c>
      <c r="BU222" t="s">
        <v>259</v>
      </c>
      <c r="BV222" t="s">
        <v>90</v>
      </c>
      <c r="BW222" t="s">
        <v>589</v>
      </c>
      <c r="BX222" t="s">
        <v>830</v>
      </c>
      <c r="BY222">
        <v>30720</v>
      </c>
      <c r="BZ222" t="s">
        <v>102</v>
      </c>
      <c r="CA222" t="s">
        <v>260</v>
      </c>
      <c r="CC222" t="s">
        <v>191</v>
      </c>
      <c r="CD222" s="5" t="s">
        <v>196</v>
      </c>
      <c r="CE222" t="s">
        <v>899</v>
      </c>
      <c r="CF222" s="3">
        <v>45883</v>
      </c>
      <c r="CI222">
        <v>1</v>
      </c>
      <c r="CJ222">
        <v>2</v>
      </c>
      <c r="CK222">
        <v>21</v>
      </c>
      <c r="CL222" t="s">
        <v>90</v>
      </c>
    </row>
    <row r="223" spans="1:90" x14ac:dyDescent="0.3">
      <c r="A223" t="s">
        <v>72</v>
      </c>
      <c r="B223" t="s">
        <v>73</v>
      </c>
      <c r="C223" t="s">
        <v>74</v>
      </c>
      <c r="E223" t="str">
        <f>"GAB2027832"</f>
        <v>GAB2027832</v>
      </c>
      <c r="F223" s="3">
        <v>45881</v>
      </c>
      <c r="G223">
        <v>202605</v>
      </c>
      <c r="H223" t="s">
        <v>75</v>
      </c>
      <c r="I223" t="s">
        <v>76</v>
      </c>
      <c r="J223" t="s">
        <v>77</v>
      </c>
      <c r="K223" t="s">
        <v>78</v>
      </c>
      <c r="L223" t="s">
        <v>345</v>
      </c>
      <c r="M223" t="s">
        <v>346</v>
      </c>
      <c r="N223" t="s">
        <v>900</v>
      </c>
      <c r="O223" t="s">
        <v>100</v>
      </c>
      <c r="P223" t="str">
        <f>"ATT:TRACEY COETZEE            "</f>
        <v xml:space="preserve">ATT:TRACEY COETZEE            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0</v>
      </c>
      <c r="AQ223">
        <v>28.85</v>
      </c>
      <c r="AR223">
        <v>0</v>
      </c>
      <c r="AS223">
        <v>0</v>
      </c>
      <c r="AT223">
        <v>0</v>
      </c>
      <c r="AU223">
        <v>0</v>
      </c>
      <c r="AV223">
        <v>0</v>
      </c>
      <c r="AW223">
        <v>0</v>
      </c>
      <c r="AX223">
        <v>0</v>
      </c>
      <c r="AY223">
        <v>0</v>
      </c>
      <c r="AZ223">
        <v>0</v>
      </c>
      <c r="BA223">
        <v>0</v>
      </c>
      <c r="BB223">
        <v>0</v>
      </c>
      <c r="BC223">
        <v>0</v>
      </c>
      <c r="BD223">
        <v>0</v>
      </c>
      <c r="BE223">
        <v>0</v>
      </c>
      <c r="BF223">
        <v>0</v>
      </c>
      <c r="BG223">
        <v>0</v>
      </c>
      <c r="BH223">
        <v>1</v>
      </c>
      <c r="BI223">
        <v>1</v>
      </c>
      <c r="BJ223">
        <v>2.4</v>
      </c>
      <c r="BK223">
        <v>2.5</v>
      </c>
      <c r="BL223">
        <v>89.59</v>
      </c>
      <c r="BM223">
        <v>13.44</v>
      </c>
      <c r="BN223">
        <v>103.03</v>
      </c>
      <c r="BO223">
        <v>103.03</v>
      </c>
      <c r="BQ223" t="s">
        <v>597</v>
      </c>
      <c r="BR223" t="s">
        <v>84</v>
      </c>
      <c r="BS223" s="3">
        <v>45888</v>
      </c>
      <c r="BT223" s="4">
        <v>0.39583333333333331</v>
      </c>
      <c r="BU223" t="s">
        <v>599</v>
      </c>
      <c r="BV223" t="s">
        <v>90</v>
      </c>
      <c r="BW223" t="s">
        <v>589</v>
      </c>
      <c r="BX223" t="s">
        <v>600</v>
      </c>
      <c r="BY223">
        <v>12000</v>
      </c>
      <c r="BZ223" t="s">
        <v>102</v>
      </c>
      <c r="CC223" t="s">
        <v>346</v>
      </c>
      <c r="CD223">
        <v>9301</v>
      </c>
      <c r="CE223" t="s">
        <v>901</v>
      </c>
      <c r="CF223" s="3">
        <v>45889</v>
      </c>
      <c r="CI223">
        <v>2</v>
      </c>
      <c r="CJ223">
        <v>5</v>
      </c>
      <c r="CK223">
        <v>21</v>
      </c>
      <c r="CL223" t="s">
        <v>90</v>
      </c>
    </row>
    <row r="224" spans="1:90" x14ac:dyDescent="0.3">
      <c r="A224" t="s">
        <v>72</v>
      </c>
      <c r="B224" t="s">
        <v>73</v>
      </c>
      <c r="C224" t="s">
        <v>74</v>
      </c>
      <c r="E224" t="str">
        <f>"GAB2027834"</f>
        <v>GAB2027834</v>
      </c>
      <c r="F224" s="3">
        <v>45881</v>
      </c>
      <c r="G224">
        <v>202605</v>
      </c>
      <c r="H224" t="s">
        <v>75</v>
      </c>
      <c r="I224" t="s">
        <v>76</v>
      </c>
      <c r="J224" t="s">
        <v>77</v>
      </c>
      <c r="K224" t="s">
        <v>78</v>
      </c>
      <c r="L224" t="s">
        <v>415</v>
      </c>
      <c r="M224" t="s">
        <v>416</v>
      </c>
      <c r="N224" t="s">
        <v>902</v>
      </c>
      <c r="O224" t="s">
        <v>100</v>
      </c>
      <c r="P224" t="str">
        <f>"INV-00120092 CT09689          "</f>
        <v xml:space="preserve">INV-00120092 CT09689          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0</v>
      </c>
      <c r="AQ224">
        <v>28.85</v>
      </c>
      <c r="AR224">
        <v>0</v>
      </c>
      <c r="AS224">
        <v>0</v>
      </c>
      <c r="AT224">
        <v>0</v>
      </c>
      <c r="AU224">
        <v>0</v>
      </c>
      <c r="AV224">
        <v>0</v>
      </c>
      <c r="AW224">
        <v>0</v>
      </c>
      <c r="AX224">
        <v>0</v>
      </c>
      <c r="AY224">
        <v>0</v>
      </c>
      <c r="AZ224">
        <v>0</v>
      </c>
      <c r="BA224">
        <v>0</v>
      </c>
      <c r="BB224">
        <v>0</v>
      </c>
      <c r="BC224">
        <v>0</v>
      </c>
      <c r="BD224">
        <v>0</v>
      </c>
      <c r="BE224">
        <v>0</v>
      </c>
      <c r="BF224">
        <v>0</v>
      </c>
      <c r="BG224">
        <v>0</v>
      </c>
      <c r="BH224">
        <v>1</v>
      </c>
      <c r="BI224">
        <v>1</v>
      </c>
      <c r="BJ224">
        <v>2.4</v>
      </c>
      <c r="BK224">
        <v>2.5</v>
      </c>
      <c r="BL224">
        <v>89.59</v>
      </c>
      <c r="BM224">
        <v>13.44</v>
      </c>
      <c r="BN224">
        <v>103.03</v>
      </c>
      <c r="BO224">
        <v>103.03</v>
      </c>
      <c r="BQ224" t="s">
        <v>903</v>
      </c>
      <c r="BR224" t="s">
        <v>84</v>
      </c>
      <c r="BS224" s="3">
        <v>45882</v>
      </c>
      <c r="BT224" s="4">
        <v>0.41666666666666669</v>
      </c>
      <c r="BU224" t="s">
        <v>903</v>
      </c>
      <c r="BV224" t="s">
        <v>86</v>
      </c>
      <c r="BY224">
        <v>12000</v>
      </c>
      <c r="BZ224" t="s">
        <v>102</v>
      </c>
      <c r="CC224" t="s">
        <v>416</v>
      </c>
      <c r="CD224">
        <v>2196</v>
      </c>
      <c r="CE224" t="s">
        <v>109</v>
      </c>
      <c r="CF224" s="3">
        <v>45882</v>
      </c>
      <c r="CI224">
        <v>1</v>
      </c>
      <c r="CJ224">
        <v>1</v>
      </c>
      <c r="CK224">
        <v>21</v>
      </c>
      <c r="CL224" t="s">
        <v>90</v>
      </c>
    </row>
    <row r="225" spans="1:90" x14ac:dyDescent="0.3">
      <c r="A225" t="s">
        <v>72</v>
      </c>
      <c r="B225" t="s">
        <v>73</v>
      </c>
      <c r="C225" t="s">
        <v>74</v>
      </c>
      <c r="E225" t="str">
        <f>"GAB2027835"</f>
        <v>GAB2027835</v>
      </c>
      <c r="F225" s="3">
        <v>45881</v>
      </c>
      <c r="G225">
        <v>202605</v>
      </c>
      <c r="H225" t="s">
        <v>75</v>
      </c>
      <c r="I225" t="s">
        <v>76</v>
      </c>
      <c r="J225" t="s">
        <v>77</v>
      </c>
      <c r="K225" t="s">
        <v>78</v>
      </c>
      <c r="L225" t="s">
        <v>693</v>
      </c>
      <c r="M225" t="s">
        <v>694</v>
      </c>
      <c r="N225" t="s">
        <v>695</v>
      </c>
      <c r="O225" t="s">
        <v>100</v>
      </c>
      <c r="P225" t="str">
        <f>"INV-00120091 CT096590         "</f>
        <v xml:space="preserve">INV-00120091 CT096590         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v>0</v>
      </c>
      <c r="AL225">
        <v>0</v>
      </c>
      <c r="AM225">
        <v>0</v>
      </c>
      <c r="AN225">
        <v>0</v>
      </c>
      <c r="AO225">
        <v>0</v>
      </c>
      <c r="AP225">
        <v>0</v>
      </c>
      <c r="AQ225">
        <v>54.82</v>
      </c>
      <c r="AR225">
        <v>0</v>
      </c>
      <c r="AS225">
        <v>0</v>
      </c>
      <c r="AT225">
        <v>0</v>
      </c>
      <c r="AU225">
        <v>0</v>
      </c>
      <c r="AV225">
        <v>0</v>
      </c>
      <c r="AW225">
        <v>0</v>
      </c>
      <c r="AX225">
        <v>0</v>
      </c>
      <c r="AY225">
        <v>0</v>
      </c>
      <c r="AZ225">
        <v>0</v>
      </c>
      <c r="BA225">
        <v>0</v>
      </c>
      <c r="BB225">
        <v>0</v>
      </c>
      <c r="BC225">
        <v>0</v>
      </c>
      <c r="BD225">
        <v>0</v>
      </c>
      <c r="BE225">
        <v>0</v>
      </c>
      <c r="BF225">
        <v>0</v>
      </c>
      <c r="BG225">
        <v>0</v>
      </c>
      <c r="BH225">
        <v>1</v>
      </c>
      <c r="BI225">
        <v>1</v>
      </c>
      <c r="BJ225">
        <v>2.4</v>
      </c>
      <c r="BK225">
        <v>2.5</v>
      </c>
      <c r="BL225">
        <v>170.24</v>
      </c>
      <c r="BM225">
        <v>25.54</v>
      </c>
      <c r="BN225">
        <v>195.78</v>
      </c>
      <c r="BO225">
        <v>195.78</v>
      </c>
      <c r="BQ225" t="s">
        <v>696</v>
      </c>
      <c r="BR225" t="s">
        <v>84</v>
      </c>
      <c r="BS225" s="3">
        <v>45882</v>
      </c>
      <c r="BT225" s="4">
        <v>0.4</v>
      </c>
      <c r="BU225" t="s">
        <v>904</v>
      </c>
      <c r="BV225" t="s">
        <v>86</v>
      </c>
      <c r="BY225">
        <v>12000</v>
      </c>
      <c r="BZ225" t="s">
        <v>102</v>
      </c>
      <c r="CA225" s="5" t="s">
        <v>905</v>
      </c>
      <c r="CC225" t="s">
        <v>694</v>
      </c>
      <c r="CD225">
        <v>2515</v>
      </c>
      <c r="CE225" t="s">
        <v>109</v>
      </c>
      <c r="CF225" s="3">
        <v>45882</v>
      </c>
      <c r="CI225">
        <v>1</v>
      </c>
      <c r="CJ225">
        <v>1</v>
      </c>
      <c r="CK225">
        <v>23</v>
      </c>
      <c r="CL225" t="s">
        <v>90</v>
      </c>
    </row>
    <row r="226" spans="1:90" x14ac:dyDescent="0.3">
      <c r="A226" t="s">
        <v>72</v>
      </c>
      <c r="B226" t="s">
        <v>73</v>
      </c>
      <c r="C226" t="s">
        <v>74</v>
      </c>
      <c r="E226" t="str">
        <f>"GAB2027836"</f>
        <v>GAB2027836</v>
      </c>
      <c r="F226" s="3">
        <v>45881</v>
      </c>
      <c r="G226">
        <v>202605</v>
      </c>
      <c r="H226" t="s">
        <v>75</v>
      </c>
      <c r="I226" t="s">
        <v>76</v>
      </c>
      <c r="J226" t="s">
        <v>77</v>
      </c>
      <c r="K226" t="s">
        <v>78</v>
      </c>
      <c r="L226" t="s">
        <v>97</v>
      </c>
      <c r="M226" t="s">
        <v>98</v>
      </c>
      <c r="N226" t="s">
        <v>99</v>
      </c>
      <c r="O226" t="s">
        <v>100</v>
      </c>
      <c r="P226" t="str">
        <f>"INV-00120090 CT096591         "</f>
        <v xml:space="preserve">INV-00120090 CT096591         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  <c r="AK226">
        <v>0</v>
      </c>
      <c r="AL226">
        <v>0</v>
      </c>
      <c r="AM226">
        <v>0</v>
      </c>
      <c r="AN226">
        <v>0</v>
      </c>
      <c r="AO226">
        <v>0</v>
      </c>
      <c r="AP226">
        <v>0</v>
      </c>
      <c r="AQ226">
        <v>28.85</v>
      </c>
      <c r="AR226">
        <v>0</v>
      </c>
      <c r="AS226">
        <v>0</v>
      </c>
      <c r="AT226">
        <v>0</v>
      </c>
      <c r="AU226">
        <v>0</v>
      </c>
      <c r="AV226">
        <v>0</v>
      </c>
      <c r="AW226">
        <v>0</v>
      </c>
      <c r="AX226">
        <v>0</v>
      </c>
      <c r="AY226">
        <v>0</v>
      </c>
      <c r="AZ226">
        <v>0</v>
      </c>
      <c r="BA226">
        <v>0</v>
      </c>
      <c r="BB226">
        <v>0</v>
      </c>
      <c r="BC226">
        <v>0</v>
      </c>
      <c r="BD226">
        <v>0</v>
      </c>
      <c r="BE226">
        <v>0</v>
      </c>
      <c r="BF226">
        <v>0</v>
      </c>
      <c r="BG226">
        <v>0</v>
      </c>
      <c r="BH226">
        <v>1</v>
      </c>
      <c r="BI226">
        <v>1</v>
      </c>
      <c r="BJ226">
        <v>2.4</v>
      </c>
      <c r="BK226">
        <v>2.5</v>
      </c>
      <c r="BL226">
        <v>89.59</v>
      </c>
      <c r="BM226">
        <v>13.44</v>
      </c>
      <c r="BN226">
        <v>103.03</v>
      </c>
      <c r="BO226">
        <v>103.03</v>
      </c>
      <c r="BR226" t="s">
        <v>84</v>
      </c>
      <c r="BS226" s="3">
        <v>45882</v>
      </c>
      <c r="BT226" s="4">
        <v>0.40347222222222223</v>
      </c>
      <c r="BU226" t="s">
        <v>906</v>
      </c>
      <c r="BV226" t="s">
        <v>86</v>
      </c>
      <c r="BY226">
        <v>12000</v>
      </c>
      <c r="BZ226" t="s">
        <v>102</v>
      </c>
      <c r="CA226" t="s">
        <v>907</v>
      </c>
      <c r="CC226" t="s">
        <v>98</v>
      </c>
      <c r="CD226">
        <v>2146</v>
      </c>
      <c r="CE226" t="s">
        <v>109</v>
      </c>
      <c r="CF226" s="3">
        <v>45882</v>
      </c>
      <c r="CI226">
        <v>1</v>
      </c>
      <c r="CJ226">
        <v>1</v>
      </c>
      <c r="CK226">
        <v>21</v>
      </c>
      <c r="CL226" t="s">
        <v>90</v>
      </c>
    </row>
    <row r="227" spans="1:90" x14ac:dyDescent="0.3">
      <c r="A227" t="s">
        <v>72</v>
      </c>
      <c r="B227" t="s">
        <v>73</v>
      </c>
      <c r="C227" t="s">
        <v>74</v>
      </c>
      <c r="E227" t="str">
        <f>"GAB2027837"</f>
        <v>GAB2027837</v>
      </c>
      <c r="F227" s="3">
        <v>45881</v>
      </c>
      <c r="G227">
        <v>202605</v>
      </c>
      <c r="H227" t="s">
        <v>75</v>
      </c>
      <c r="I227" t="s">
        <v>76</v>
      </c>
      <c r="J227" t="s">
        <v>77</v>
      </c>
      <c r="K227" t="s">
        <v>78</v>
      </c>
      <c r="L227" t="s">
        <v>908</v>
      </c>
      <c r="M227" t="s">
        <v>909</v>
      </c>
      <c r="N227" t="s">
        <v>910</v>
      </c>
      <c r="O227" t="s">
        <v>100</v>
      </c>
      <c r="P227" t="str">
        <f>"INV-00120089 CT096588         "</f>
        <v xml:space="preserve">INV-00120089 CT096588         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v>0</v>
      </c>
      <c r="AL227">
        <v>0</v>
      </c>
      <c r="AM227">
        <v>0</v>
      </c>
      <c r="AN227">
        <v>0</v>
      </c>
      <c r="AO227">
        <v>0</v>
      </c>
      <c r="AP227">
        <v>0</v>
      </c>
      <c r="AQ227">
        <v>46.15</v>
      </c>
      <c r="AR227">
        <v>0</v>
      </c>
      <c r="AS227">
        <v>0</v>
      </c>
      <c r="AT227">
        <v>0</v>
      </c>
      <c r="AU227">
        <v>0</v>
      </c>
      <c r="AV227">
        <v>0</v>
      </c>
      <c r="AW227">
        <v>0</v>
      </c>
      <c r="AX227">
        <v>0</v>
      </c>
      <c r="AY227">
        <v>0</v>
      </c>
      <c r="AZ227">
        <v>0</v>
      </c>
      <c r="BA227">
        <v>0</v>
      </c>
      <c r="BB227">
        <v>0</v>
      </c>
      <c r="BC227">
        <v>0</v>
      </c>
      <c r="BD227">
        <v>0</v>
      </c>
      <c r="BE227">
        <v>0</v>
      </c>
      <c r="BF227">
        <v>0</v>
      </c>
      <c r="BG227">
        <v>0</v>
      </c>
      <c r="BH227">
        <v>1</v>
      </c>
      <c r="BI227">
        <v>1</v>
      </c>
      <c r="BJ227">
        <v>3.8</v>
      </c>
      <c r="BK227">
        <v>4</v>
      </c>
      <c r="BL227">
        <v>143.31</v>
      </c>
      <c r="BM227">
        <v>21.5</v>
      </c>
      <c r="BN227">
        <v>164.81</v>
      </c>
      <c r="BO227">
        <v>164.81</v>
      </c>
      <c r="BQ227" t="s">
        <v>911</v>
      </c>
      <c r="BR227" t="s">
        <v>84</v>
      </c>
      <c r="BS227" s="3">
        <v>45882</v>
      </c>
      <c r="BT227" s="4">
        <v>0.36180555555555555</v>
      </c>
      <c r="BU227" t="s">
        <v>912</v>
      </c>
      <c r="BV227" t="s">
        <v>86</v>
      </c>
      <c r="BY227">
        <v>19200</v>
      </c>
      <c r="BZ227" t="s">
        <v>102</v>
      </c>
      <c r="CC227" t="s">
        <v>909</v>
      </c>
      <c r="CD227">
        <v>1684</v>
      </c>
      <c r="CE227" t="s">
        <v>104</v>
      </c>
      <c r="CF227" s="3">
        <v>45883</v>
      </c>
      <c r="CI227">
        <v>1</v>
      </c>
      <c r="CJ227">
        <v>1</v>
      </c>
      <c r="CK227">
        <v>21</v>
      </c>
      <c r="CL227" t="s">
        <v>90</v>
      </c>
    </row>
    <row r="228" spans="1:90" x14ac:dyDescent="0.3">
      <c r="A228" t="s">
        <v>72</v>
      </c>
      <c r="B228" t="s">
        <v>73</v>
      </c>
      <c r="C228" t="s">
        <v>74</v>
      </c>
      <c r="E228" t="str">
        <f>"GAB2027838"</f>
        <v>GAB2027838</v>
      </c>
      <c r="F228" s="3">
        <v>45881</v>
      </c>
      <c r="G228">
        <v>202605</v>
      </c>
      <c r="H228" t="s">
        <v>75</v>
      </c>
      <c r="I228" t="s">
        <v>76</v>
      </c>
      <c r="J228" t="s">
        <v>77</v>
      </c>
      <c r="K228" t="s">
        <v>78</v>
      </c>
      <c r="L228" t="s">
        <v>190</v>
      </c>
      <c r="M228" t="s">
        <v>191</v>
      </c>
      <c r="N228" t="s">
        <v>398</v>
      </c>
      <c r="O228" t="s">
        <v>100</v>
      </c>
      <c r="P228" t="str">
        <f>"INV-00120088 CT096584         "</f>
        <v xml:space="preserve">INV-00120088 CT096584         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0</v>
      </c>
      <c r="AL228">
        <v>0</v>
      </c>
      <c r="AM228">
        <v>0</v>
      </c>
      <c r="AN228">
        <v>0</v>
      </c>
      <c r="AO228">
        <v>0</v>
      </c>
      <c r="AP228">
        <v>0</v>
      </c>
      <c r="AQ228">
        <v>34.619999999999997</v>
      </c>
      <c r="AR228">
        <v>0</v>
      </c>
      <c r="AS228">
        <v>0</v>
      </c>
      <c r="AT228">
        <v>0</v>
      </c>
      <c r="AU228">
        <v>0</v>
      </c>
      <c r="AV228">
        <v>0</v>
      </c>
      <c r="AW228">
        <v>0</v>
      </c>
      <c r="AX228">
        <v>0</v>
      </c>
      <c r="AY228">
        <v>0</v>
      </c>
      <c r="AZ228">
        <v>0</v>
      </c>
      <c r="BA228">
        <v>0</v>
      </c>
      <c r="BB228">
        <v>0</v>
      </c>
      <c r="BC228">
        <v>0</v>
      </c>
      <c r="BD228">
        <v>0</v>
      </c>
      <c r="BE228">
        <v>0</v>
      </c>
      <c r="BF228">
        <v>0</v>
      </c>
      <c r="BG228">
        <v>0</v>
      </c>
      <c r="BH228">
        <v>1</v>
      </c>
      <c r="BI228">
        <v>1</v>
      </c>
      <c r="BJ228">
        <v>2.7</v>
      </c>
      <c r="BK228">
        <v>3</v>
      </c>
      <c r="BL228">
        <v>107.5</v>
      </c>
      <c r="BM228">
        <v>16.13</v>
      </c>
      <c r="BN228">
        <v>123.63</v>
      </c>
      <c r="BO228">
        <v>123.63</v>
      </c>
      <c r="BQ228" t="s">
        <v>399</v>
      </c>
      <c r="BR228" t="s">
        <v>84</v>
      </c>
      <c r="BS228" s="3">
        <v>45882</v>
      </c>
      <c r="BT228" s="4">
        <v>0.41666666666666669</v>
      </c>
      <c r="BU228" t="s">
        <v>913</v>
      </c>
      <c r="BV228" t="s">
        <v>86</v>
      </c>
      <c r="BY228">
        <v>13392</v>
      </c>
      <c r="BZ228" t="s">
        <v>102</v>
      </c>
      <c r="CC228" t="s">
        <v>191</v>
      </c>
      <c r="CD228" s="5" t="s">
        <v>196</v>
      </c>
      <c r="CE228" t="s">
        <v>753</v>
      </c>
      <c r="CF228" s="3">
        <v>45882</v>
      </c>
      <c r="CI228">
        <v>1</v>
      </c>
      <c r="CJ228">
        <v>1</v>
      </c>
      <c r="CK228">
        <v>21</v>
      </c>
      <c r="CL228" t="s">
        <v>90</v>
      </c>
    </row>
    <row r="229" spans="1:90" x14ac:dyDescent="0.3">
      <c r="A229" t="s">
        <v>72</v>
      </c>
      <c r="B229" t="s">
        <v>73</v>
      </c>
      <c r="C229" t="s">
        <v>74</v>
      </c>
      <c r="E229" t="str">
        <f>"GAB2027839"</f>
        <v>GAB2027839</v>
      </c>
      <c r="F229" s="3">
        <v>45881</v>
      </c>
      <c r="G229">
        <v>202605</v>
      </c>
      <c r="H229" t="s">
        <v>75</v>
      </c>
      <c r="I229" t="s">
        <v>76</v>
      </c>
      <c r="J229" t="s">
        <v>77</v>
      </c>
      <c r="K229" t="s">
        <v>78</v>
      </c>
      <c r="L229" t="s">
        <v>216</v>
      </c>
      <c r="M229" t="s">
        <v>217</v>
      </c>
      <c r="N229" t="s">
        <v>218</v>
      </c>
      <c r="O229" t="s">
        <v>100</v>
      </c>
      <c r="P229" t="str">
        <f>"INV-00120087 CT096594         "</f>
        <v xml:space="preserve">INV-00120087 CT096594         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  <c r="AK229">
        <v>0</v>
      </c>
      <c r="AL229">
        <v>0</v>
      </c>
      <c r="AM229">
        <v>0</v>
      </c>
      <c r="AN229">
        <v>0</v>
      </c>
      <c r="AO229">
        <v>0</v>
      </c>
      <c r="AP229">
        <v>0</v>
      </c>
      <c r="AQ229">
        <v>54.82</v>
      </c>
      <c r="AR229">
        <v>0</v>
      </c>
      <c r="AS229">
        <v>0</v>
      </c>
      <c r="AT229">
        <v>0</v>
      </c>
      <c r="AU229">
        <v>0</v>
      </c>
      <c r="AV229">
        <v>0</v>
      </c>
      <c r="AW229">
        <v>0</v>
      </c>
      <c r="AX229">
        <v>0</v>
      </c>
      <c r="AY229">
        <v>0</v>
      </c>
      <c r="AZ229">
        <v>0</v>
      </c>
      <c r="BA229">
        <v>0</v>
      </c>
      <c r="BB229">
        <v>0</v>
      </c>
      <c r="BC229">
        <v>0</v>
      </c>
      <c r="BD229">
        <v>0</v>
      </c>
      <c r="BE229">
        <v>0</v>
      </c>
      <c r="BF229">
        <v>0</v>
      </c>
      <c r="BG229">
        <v>0</v>
      </c>
      <c r="BH229">
        <v>1</v>
      </c>
      <c r="BI229">
        <v>1</v>
      </c>
      <c r="BJ229">
        <v>2.4</v>
      </c>
      <c r="BK229">
        <v>2.5</v>
      </c>
      <c r="BL229">
        <v>170.24</v>
      </c>
      <c r="BM229">
        <v>25.54</v>
      </c>
      <c r="BN229">
        <v>195.78</v>
      </c>
      <c r="BO229">
        <v>195.78</v>
      </c>
      <c r="BQ229" t="s">
        <v>219</v>
      </c>
      <c r="BR229" t="s">
        <v>84</v>
      </c>
      <c r="BS229" s="3">
        <v>45883</v>
      </c>
      <c r="BT229" s="4">
        <v>0.6430555555555556</v>
      </c>
      <c r="BU229" t="s">
        <v>914</v>
      </c>
      <c r="BV229" t="s">
        <v>86</v>
      </c>
      <c r="BY229">
        <v>12000</v>
      </c>
      <c r="BZ229" t="s">
        <v>102</v>
      </c>
      <c r="CA229" t="s">
        <v>221</v>
      </c>
      <c r="CC229" t="s">
        <v>217</v>
      </c>
      <c r="CD229" s="5" t="s">
        <v>222</v>
      </c>
      <c r="CE229" t="s">
        <v>116</v>
      </c>
      <c r="CF229" s="3">
        <v>45883</v>
      </c>
      <c r="CI229">
        <v>3</v>
      </c>
      <c r="CJ229">
        <v>2</v>
      </c>
      <c r="CK229">
        <v>23</v>
      </c>
      <c r="CL229" t="s">
        <v>90</v>
      </c>
    </row>
    <row r="230" spans="1:90" x14ac:dyDescent="0.3">
      <c r="A230" t="s">
        <v>72</v>
      </c>
      <c r="B230" t="s">
        <v>73</v>
      </c>
      <c r="C230" t="s">
        <v>74</v>
      </c>
      <c r="E230" t="str">
        <f>"GAB2027840"</f>
        <v>GAB2027840</v>
      </c>
      <c r="F230" s="3">
        <v>45881</v>
      </c>
      <c r="G230">
        <v>202605</v>
      </c>
      <c r="H230" t="s">
        <v>75</v>
      </c>
      <c r="I230" t="s">
        <v>76</v>
      </c>
      <c r="J230" t="s">
        <v>77</v>
      </c>
      <c r="K230" t="s">
        <v>78</v>
      </c>
      <c r="L230" t="s">
        <v>75</v>
      </c>
      <c r="M230" t="s">
        <v>76</v>
      </c>
      <c r="N230" t="s">
        <v>645</v>
      </c>
      <c r="O230" t="s">
        <v>100</v>
      </c>
      <c r="P230" t="str">
        <f>"INV-00120086 CT096596         "</f>
        <v xml:space="preserve">INV-00120086 CT096596         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  <c r="AK230">
        <v>0</v>
      </c>
      <c r="AL230">
        <v>0</v>
      </c>
      <c r="AM230">
        <v>0</v>
      </c>
      <c r="AN230">
        <v>0</v>
      </c>
      <c r="AO230">
        <v>0</v>
      </c>
      <c r="AP230">
        <v>0</v>
      </c>
      <c r="AQ230">
        <v>18.03</v>
      </c>
      <c r="AR230">
        <v>0</v>
      </c>
      <c r="AS230">
        <v>0</v>
      </c>
      <c r="AT230">
        <v>0</v>
      </c>
      <c r="AU230">
        <v>0</v>
      </c>
      <c r="AV230">
        <v>0</v>
      </c>
      <c r="AW230">
        <v>0</v>
      </c>
      <c r="AX230">
        <v>0</v>
      </c>
      <c r="AY230">
        <v>0</v>
      </c>
      <c r="AZ230">
        <v>0</v>
      </c>
      <c r="BA230">
        <v>0</v>
      </c>
      <c r="BB230">
        <v>0</v>
      </c>
      <c r="BC230">
        <v>0</v>
      </c>
      <c r="BD230">
        <v>0</v>
      </c>
      <c r="BE230">
        <v>0</v>
      </c>
      <c r="BF230">
        <v>0</v>
      </c>
      <c r="BG230">
        <v>0</v>
      </c>
      <c r="BH230">
        <v>1</v>
      </c>
      <c r="BI230">
        <v>1</v>
      </c>
      <c r="BJ230">
        <v>2.4</v>
      </c>
      <c r="BK230">
        <v>3</v>
      </c>
      <c r="BL230">
        <v>55.99</v>
      </c>
      <c r="BM230">
        <v>8.4</v>
      </c>
      <c r="BN230">
        <v>64.39</v>
      </c>
      <c r="BO230">
        <v>64.39</v>
      </c>
      <c r="BQ230" t="s">
        <v>646</v>
      </c>
      <c r="BR230" t="s">
        <v>84</v>
      </c>
      <c r="BS230" s="3">
        <v>45882</v>
      </c>
      <c r="BT230" s="4">
        <v>0.4201388888888889</v>
      </c>
      <c r="BU230" t="s">
        <v>915</v>
      </c>
      <c r="BV230" t="s">
        <v>86</v>
      </c>
      <c r="BY230">
        <v>12000</v>
      </c>
      <c r="BZ230" t="s">
        <v>102</v>
      </c>
      <c r="CA230" t="s">
        <v>648</v>
      </c>
      <c r="CC230" t="s">
        <v>76</v>
      </c>
      <c r="CD230">
        <v>7800</v>
      </c>
      <c r="CE230" t="s">
        <v>109</v>
      </c>
      <c r="CF230" s="3">
        <v>45883</v>
      </c>
      <c r="CI230">
        <v>1</v>
      </c>
      <c r="CJ230">
        <v>1</v>
      </c>
      <c r="CK230">
        <v>22</v>
      </c>
      <c r="CL230" t="s">
        <v>90</v>
      </c>
    </row>
    <row r="231" spans="1:90" x14ac:dyDescent="0.3">
      <c r="A231" t="s">
        <v>72</v>
      </c>
      <c r="B231" t="s">
        <v>73</v>
      </c>
      <c r="C231" t="s">
        <v>74</v>
      </c>
      <c r="E231" t="str">
        <f>"GAB2027841"</f>
        <v>GAB2027841</v>
      </c>
      <c r="F231" s="3">
        <v>45881</v>
      </c>
      <c r="G231">
        <v>202605</v>
      </c>
      <c r="H231" t="s">
        <v>75</v>
      </c>
      <c r="I231" t="s">
        <v>76</v>
      </c>
      <c r="J231" t="s">
        <v>77</v>
      </c>
      <c r="K231" t="s">
        <v>78</v>
      </c>
      <c r="L231" t="s">
        <v>159</v>
      </c>
      <c r="M231" t="s">
        <v>159</v>
      </c>
      <c r="N231" t="s">
        <v>269</v>
      </c>
      <c r="O231" t="s">
        <v>100</v>
      </c>
      <c r="P231" t="str">
        <f>"INV-00120085 CT096595         "</f>
        <v xml:space="preserve">INV-00120085 CT096595         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0</v>
      </c>
      <c r="AL231">
        <v>0</v>
      </c>
      <c r="AM231">
        <v>0</v>
      </c>
      <c r="AN231">
        <v>0</v>
      </c>
      <c r="AO231">
        <v>0</v>
      </c>
      <c r="AP231">
        <v>0</v>
      </c>
      <c r="AQ231">
        <v>40.369999999999997</v>
      </c>
      <c r="AR231">
        <v>0</v>
      </c>
      <c r="AS231">
        <v>0</v>
      </c>
      <c r="AT231">
        <v>0</v>
      </c>
      <c r="AU231">
        <v>0</v>
      </c>
      <c r="AV231">
        <v>0</v>
      </c>
      <c r="AW231">
        <v>0</v>
      </c>
      <c r="AX231">
        <v>0</v>
      </c>
      <c r="AY231">
        <v>0</v>
      </c>
      <c r="AZ231">
        <v>0</v>
      </c>
      <c r="BA231">
        <v>0</v>
      </c>
      <c r="BB231">
        <v>0</v>
      </c>
      <c r="BC231">
        <v>0</v>
      </c>
      <c r="BD231">
        <v>0</v>
      </c>
      <c r="BE231">
        <v>0</v>
      </c>
      <c r="BF231">
        <v>0</v>
      </c>
      <c r="BG231">
        <v>0</v>
      </c>
      <c r="BH231">
        <v>1</v>
      </c>
      <c r="BI231">
        <v>1</v>
      </c>
      <c r="BJ231">
        <v>2.4</v>
      </c>
      <c r="BK231">
        <v>2.5</v>
      </c>
      <c r="BL231">
        <v>125.36</v>
      </c>
      <c r="BM231">
        <v>18.8</v>
      </c>
      <c r="BN231">
        <v>144.16</v>
      </c>
      <c r="BO231">
        <v>144.16</v>
      </c>
      <c r="BQ231" t="s">
        <v>270</v>
      </c>
      <c r="BR231" t="s">
        <v>84</v>
      </c>
      <c r="BS231" s="3">
        <v>45882</v>
      </c>
      <c r="BT231" s="4">
        <v>0.45624999999999999</v>
      </c>
      <c r="BU231" t="s">
        <v>916</v>
      </c>
      <c r="BV231" t="s">
        <v>86</v>
      </c>
      <c r="BY231">
        <v>12000</v>
      </c>
      <c r="BZ231" t="s">
        <v>102</v>
      </c>
      <c r="CA231" t="s">
        <v>272</v>
      </c>
      <c r="CC231" t="s">
        <v>159</v>
      </c>
      <c r="CD231">
        <v>7646</v>
      </c>
      <c r="CE231" t="s">
        <v>116</v>
      </c>
      <c r="CF231" s="3">
        <v>45889</v>
      </c>
      <c r="CI231">
        <v>1</v>
      </c>
      <c r="CJ231">
        <v>1</v>
      </c>
      <c r="CK231">
        <v>24</v>
      </c>
      <c r="CL231" t="s">
        <v>90</v>
      </c>
    </row>
    <row r="232" spans="1:90" x14ac:dyDescent="0.3">
      <c r="A232" t="s">
        <v>72</v>
      </c>
      <c r="B232" t="s">
        <v>73</v>
      </c>
      <c r="C232" t="s">
        <v>74</v>
      </c>
      <c r="E232" t="str">
        <f>"GAB2027842"</f>
        <v>GAB2027842</v>
      </c>
      <c r="F232" s="3">
        <v>45881</v>
      </c>
      <c r="G232">
        <v>202605</v>
      </c>
      <c r="H232" t="s">
        <v>75</v>
      </c>
      <c r="I232" t="s">
        <v>76</v>
      </c>
      <c r="J232" t="s">
        <v>77</v>
      </c>
      <c r="K232" t="s">
        <v>78</v>
      </c>
      <c r="L232" t="s">
        <v>345</v>
      </c>
      <c r="M232" t="s">
        <v>346</v>
      </c>
      <c r="N232" t="s">
        <v>400</v>
      </c>
      <c r="O232" t="s">
        <v>100</v>
      </c>
      <c r="P232" t="str">
        <f>"INV-00038404 035385           "</f>
        <v xml:space="preserve">INV-00038404 035385           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  <c r="AK232">
        <v>0</v>
      </c>
      <c r="AL232">
        <v>0</v>
      </c>
      <c r="AM232">
        <v>0</v>
      </c>
      <c r="AN232">
        <v>0</v>
      </c>
      <c r="AO232">
        <v>0</v>
      </c>
      <c r="AP232">
        <v>0</v>
      </c>
      <c r="AQ232">
        <v>46.15</v>
      </c>
      <c r="AR232">
        <v>0</v>
      </c>
      <c r="AS232">
        <v>0</v>
      </c>
      <c r="AT232">
        <v>0</v>
      </c>
      <c r="AU232">
        <v>0</v>
      </c>
      <c r="AV232">
        <v>0</v>
      </c>
      <c r="AW232">
        <v>0</v>
      </c>
      <c r="AX232">
        <v>0</v>
      </c>
      <c r="AY232">
        <v>0</v>
      </c>
      <c r="AZ232">
        <v>0</v>
      </c>
      <c r="BA232">
        <v>0</v>
      </c>
      <c r="BB232">
        <v>0</v>
      </c>
      <c r="BC232">
        <v>0</v>
      </c>
      <c r="BD232">
        <v>0</v>
      </c>
      <c r="BE232">
        <v>0</v>
      </c>
      <c r="BF232">
        <v>0</v>
      </c>
      <c r="BG232">
        <v>0</v>
      </c>
      <c r="BH232">
        <v>1</v>
      </c>
      <c r="BI232">
        <v>1</v>
      </c>
      <c r="BJ232">
        <v>3.8</v>
      </c>
      <c r="BK232">
        <v>4</v>
      </c>
      <c r="BL232">
        <v>143.31</v>
      </c>
      <c r="BM232">
        <v>21.5</v>
      </c>
      <c r="BN232">
        <v>164.81</v>
      </c>
      <c r="BO232">
        <v>164.81</v>
      </c>
      <c r="BQ232" t="s">
        <v>681</v>
      </c>
      <c r="BR232" t="s">
        <v>84</v>
      </c>
      <c r="BS232" s="3">
        <v>45883</v>
      </c>
      <c r="BT232" s="4">
        <v>0.43055555555555558</v>
      </c>
      <c r="BU232" t="s">
        <v>917</v>
      </c>
      <c r="BV232" t="s">
        <v>86</v>
      </c>
      <c r="BY232">
        <v>19200</v>
      </c>
      <c r="BZ232" t="s">
        <v>102</v>
      </c>
      <c r="CC232" t="s">
        <v>346</v>
      </c>
      <c r="CD232">
        <v>9301</v>
      </c>
      <c r="CE232" t="s">
        <v>143</v>
      </c>
      <c r="CF232" s="3">
        <v>45884</v>
      </c>
      <c r="CI232">
        <v>2</v>
      </c>
      <c r="CJ232">
        <v>2</v>
      </c>
      <c r="CK232">
        <v>21</v>
      </c>
      <c r="CL232" t="s">
        <v>90</v>
      </c>
    </row>
    <row r="233" spans="1:90" x14ac:dyDescent="0.3">
      <c r="A233" t="s">
        <v>72</v>
      </c>
      <c r="B233" t="s">
        <v>73</v>
      </c>
      <c r="C233" t="s">
        <v>74</v>
      </c>
      <c r="E233" t="str">
        <f>"GAB2027845"</f>
        <v>GAB2027845</v>
      </c>
      <c r="F233" s="3">
        <v>45881</v>
      </c>
      <c r="G233">
        <v>202605</v>
      </c>
      <c r="H233" t="s">
        <v>75</v>
      </c>
      <c r="I233" t="s">
        <v>76</v>
      </c>
      <c r="J233" t="s">
        <v>77</v>
      </c>
      <c r="K233" t="s">
        <v>78</v>
      </c>
      <c r="L233" t="s">
        <v>918</v>
      </c>
      <c r="M233" t="s">
        <v>919</v>
      </c>
      <c r="N233" t="s">
        <v>920</v>
      </c>
      <c r="O233" t="s">
        <v>100</v>
      </c>
      <c r="P233" t="str">
        <f>"INV-00120097 CT096600         "</f>
        <v xml:space="preserve">INV-00120097 CT096600         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  <c r="AK233">
        <v>0</v>
      </c>
      <c r="AL233">
        <v>0</v>
      </c>
      <c r="AM233">
        <v>0</v>
      </c>
      <c r="AN233">
        <v>0</v>
      </c>
      <c r="AO233">
        <v>0</v>
      </c>
      <c r="AP233">
        <v>0</v>
      </c>
      <c r="AQ233">
        <v>85.12</v>
      </c>
      <c r="AR233">
        <v>0</v>
      </c>
      <c r="AS233">
        <v>0</v>
      </c>
      <c r="AT233">
        <v>0</v>
      </c>
      <c r="AU233">
        <v>0</v>
      </c>
      <c r="AV233">
        <v>0</v>
      </c>
      <c r="AW233">
        <v>0</v>
      </c>
      <c r="AX233">
        <v>0</v>
      </c>
      <c r="AY233">
        <v>0</v>
      </c>
      <c r="AZ233">
        <v>0</v>
      </c>
      <c r="BA233">
        <v>0</v>
      </c>
      <c r="BB233">
        <v>0</v>
      </c>
      <c r="BC233">
        <v>0</v>
      </c>
      <c r="BD233">
        <v>0</v>
      </c>
      <c r="BE233">
        <v>0</v>
      </c>
      <c r="BF233">
        <v>0</v>
      </c>
      <c r="BG233">
        <v>0</v>
      </c>
      <c r="BH233">
        <v>1</v>
      </c>
      <c r="BI233">
        <v>1</v>
      </c>
      <c r="BJ233">
        <v>3.8</v>
      </c>
      <c r="BK233">
        <v>4</v>
      </c>
      <c r="BL233">
        <v>264.32</v>
      </c>
      <c r="BM233">
        <v>39.65</v>
      </c>
      <c r="BN233">
        <v>303.97000000000003</v>
      </c>
      <c r="BO233">
        <v>303.97000000000003</v>
      </c>
      <c r="BR233" t="s">
        <v>84</v>
      </c>
      <c r="BS233" s="3">
        <v>45884</v>
      </c>
      <c r="BT233" s="4">
        <v>0.43402777777777779</v>
      </c>
      <c r="BU233" t="s">
        <v>921</v>
      </c>
      <c r="BV233" t="s">
        <v>86</v>
      </c>
      <c r="BY233">
        <v>19200</v>
      </c>
      <c r="BZ233" t="s">
        <v>102</v>
      </c>
      <c r="CC233" t="s">
        <v>919</v>
      </c>
      <c r="CD233">
        <v>5099</v>
      </c>
      <c r="CE233" t="s">
        <v>471</v>
      </c>
      <c r="CF233" s="3">
        <v>45884</v>
      </c>
      <c r="CI233">
        <v>4</v>
      </c>
      <c r="CJ233">
        <v>3</v>
      </c>
      <c r="CK233">
        <v>23</v>
      </c>
      <c r="CL233" t="s">
        <v>90</v>
      </c>
    </row>
    <row r="234" spans="1:90" x14ac:dyDescent="0.3">
      <c r="A234" t="s">
        <v>72</v>
      </c>
      <c r="B234" t="s">
        <v>73</v>
      </c>
      <c r="C234" t="s">
        <v>74</v>
      </c>
      <c r="E234" t="str">
        <f>"GAB2027846"</f>
        <v>GAB2027846</v>
      </c>
      <c r="F234" s="3">
        <v>45881</v>
      </c>
      <c r="G234">
        <v>202605</v>
      </c>
      <c r="H234" t="s">
        <v>75</v>
      </c>
      <c r="I234" t="s">
        <v>76</v>
      </c>
      <c r="J234" t="s">
        <v>77</v>
      </c>
      <c r="K234" t="s">
        <v>78</v>
      </c>
      <c r="L234" t="s">
        <v>922</v>
      </c>
      <c r="M234" t="s">
        <v>923</v>
      </c>
      <c r="N234" t="s">
        <v>924</v>
      </c>
      <c r="O234" t="s">
        <v>100</v>
      </c>
      <c r="P234" t="str">
        <f>"INV-00038418 035405           "</f>
        <v xml:space="preserve">INV-00038418 035405           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  <c r="AK234">
        <v>0</v>
      </c>
      <c r="AL234">
        <v>0</v>
      </c>
      <c r="AM234">
        <v>0</v>
      </c>
      <c r="AN234">
        <v>0</v>
      </c>
      <c r="AO234">
        <v>0</v>
      </c>
      <c r="AP234">
        <v>0</v>
      </c>
      <c r="AQ234">
        <v>28.85</v>
      </c>
      <c r="AR234">
        <v>0</v>
      </c>
      <c r="AS234">
        <v>0</v>
      </c>
      <c r="AT234">
        <v>0</v>
      </c>
      <c r="AU234">
        <v>0</v>
      </c>
      <c r="AV234">
        <v>0</v>
      </c>
      <c r="AW234">
        <v>0</v>
      </c>
      <c r="AX234">
        <v>0</v>
      </c>
      <c r="AY234">
        <v>0</v>
      </c>
      <c r="AZ234">
        <v>0</v>
      </c>
      <c r="BA234">
        <v>0</v>
      </c>
      <c r="BB234">
        <v>0</v>
      </c>
      <c r="BC234">
        <v>0</v>
      </c>
      <c r="BD234">
        <v>0</v>
      </c>
      <c r="BE234">
        <v>0</v>
      </c>
      <c r="BF234">
        <v>0</v>
      </c>
      <c r="BG234">
        <v>0</v>
      </c>
      <c r="BH234">
        <v>1</v>
      </c>
      <c r="BI234">
        <v>1</v>
      </c>
      <c r="BJ234">
        <v>2.4</v>
      </c>
      <c r="BK234">
        <v>2.5</v>
      </c>
      <c r="BL234">
        <v>89.59</v>
      </c>
      <c r="BM234">
        <v>13.44</v>
      </c>
      <c r="BN234">
        <v>103.03</v>
      </c>
      <c r="BO234">
        <v>103.03</v>
      </c>
      <c r="BQ234" t="s">
        <v>135</v>
      </c>
      <c r="BR234" t="s">
        <v>84</v>
      </c>
      <c r="BS234" s="3">
        <v>45882</v>
      </c>
      <c r="BT234" s="4">
        <v>0.37569444444444444</v>
      </c>
      <c r="BU234" t="s">
        <v>925</v>
      </c>
      <c r="BV234" t="s">
        <v>86</v>
      </c>
      <c r="BY234">
        <v>12000</v>
      </c>
      <c r="BZ234" t="s">
        <v>102</v>
      </c>
      <c r="CA234" t="s">
        <v>926</v>
      </c>
      <c r="CC234" t="s">
        <v>923</v>
      </c>
      <c r="CD234">
        <v>1559</v>
      </c>
      <c r="CE234" t="s">
        <v>143</v>
      </c>
      <c r="CF234" s="3">
        <v>45882</v>
      </c>
      <c r="CI234">
        <v>1</v>
      </c>
      <c r="CJ234">
        <v>1</v>
      </c>
      <c r="CK234">
        <v>21</v>
      </c>
      <c r="CL234" t="s">
        <v>90</v>
      </c>
    </row>
    <row r="235" spans="1:90" x14ac:dyDescent="0.3">
      <c r="A235" t="s">
        <v>72</v>
      </c>
      <c r="B235" t="s">
        <v>73</v>
      </c>
      <c r="C235" t="s">
        <v>74</v>
      </c>
      <c r="E235" t="str">
        <f>"GAB2027847"</f>
        <v>GAB2027847</v>
      </c>
      <c r="F235" s="3">
        <v>45881</v>
      </c>
      <c r="G235">
        <v>202605</v>
      </c>
      <c r="H235" t="s">
        <v>75</v>
      </c>
      <c r="I235" t="s">
        <v>76</v>
      </c>
      <c r="J235" t="s">
        <v>77</v>
      </c>
      <c r="K235" t="s">
        <v>78</v>
      </c>
      <c r="L235" t="s">
        <v>75</v>
      </c>
      <c r="M235" t="s">
        <v>76</v>
      </c>
      <c r="N235" t="s">
        <v>927</v>
      </c>
      <c r="O235" t="s">
        <v>100</v>
      </c>
      <c r="P235" t="str">
        <f>"INV-00038417 035388           "</f>
        <v xml:space="preserve">INV-00038417 035388           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0</v>
      </c>
      <c r="AN235">
        <v>0</v>
      </c>
      <c r="AO235">
        <v>0</v>
      </c>
      <c r="AP235">
        <v>0</v>
      </c>
      <c r="AQ235">
        <v>18.03</v>
      </c>
      <c r="AR235">
        <v>0</v>
      </c>
      <c r="AS235">
        <v>0</v>
      </c>
      <c r="AT235">
        <v>0</v>
      </c>
      <c r="AU235">
        <v>0</v>
      </c>
      <c r="AV235">
        <v>0</v>
      </c>
      <c r="AW235">
        <v>0</v>
      </c>
      <c r="AX235">
        <v>0</v>
      </c>
      <c r="AY235">
        <v>0</v>
      </c>
      <c r="AZ235">
        <v>0</v>
      </c>
      <c r="BA235">
        <v>0</v>
      </c>
      <c r="BB235">
        <v>0</v>
      </c>
      <c r="BC235">
        <v>0</v>
      </c>
      <c r="BD235">
        <v>0</v>
      </c>
      <c r="BE235">
        <v>0</v>
      </c>
      <c r="BF235">
        <v>0</v>
      </c>
      <c r="BG235">
        <v>0</v>
      </c>
      <c r="BH235">
        <v>1</v>
      </c>
      <c r="BI235">
        <v>1</v>
      </c>
      <c r="BJ235">
        <v>3.8</v>
      </c>
      <c r="BK235">
        <v>4</v>
      </c>
      <c r="BL235">
        <v>55.99</v>
      </c>
      <c r="BM235">
        <v>8.4</v>
      </c>
      <c r="BN235">
        <v>64.39</v>
      </c>
      <c r="BO235">
        <v>64.39</v>
      </c>
      <c r="BQ235" t="s">
        <v>135</v>
      </c>
      <c r="BR235" t="s">
        <v>84</v>
      </c>
      <c r="BS235" s="3">
        <v>45882</v>
      </c>
      <c r="BT235" s="4">
        <v>0.41666666666666669</v>
      </c>
      <c r="BU235" t="s">
        <v>928</v>
      </c>
      <c r="BV235" t="s">
        <v>86</v>
      </c>
      <c r="BY235">
        <v>19200</v>
      </c>
      <c r="BZ235" t="s">
        <v>102</v>
      </c>
      <c r="CA235" t="s">
        <v>368</v>
      </c>
      <c r="CC235" t="s">
        <v>76</v>
      </c>
      <c r="CD235">
        <v>7441</v>
      </c>
      <c r="CE235" t="s">
        <v>104</v>
      </c>
      <c r="CF235" s="3">
        <v>45883</v>
      </c>
      <c r="CI235">
        <v>1</v>
      </c>
      <c r="CJ235">
        <v>1</v>
      </c>
      <c r="CK235">
        <v>22</v>
      </c>
      <c r="CL235" t="s">
        <v>90</v>
      </c>
    </row>
    <row r="236" spans="1:90" x14ac:dyDescent="0.3">
      <c r="A236" t="s">
        <v>72</v>
      </c>
      <c r="B236" t="s">
        <v>73</v>
      </c>
      <c r="C236" t="s">
        <v>74</v>
      </c>
      <c r="E236" t="str">
        <f>"GAB2027850"</f>
        <v>GAB2027850</v>
      </c>
      <c r="F236" s="3">
        <v>45881</v>
      </c>
      <c r="G236">
        <v>202605</v>
      </c>
      <c r="H236" t="s">
        <v>75</v>
      </c>
      <c r="I236" t="s">
        <v>76</v>
      </c>
      <c r="J236" t="s">
        <v>77</v>
      </c>
      <c r="K236" t="s">
        <v>78</v>
      </c>
      <c r="L236" t="s">
        <v>75</v>
      </c>
      <c r="M236" t="s">
        <v>76</v>
      </c>
      <c r="N236" t="s">
        <v>699</v>
      </c>
      <c r="O236" t="s">
        <v>100</v>
      </c>
      <c r="P236" t="str">
        <f>"INV-0120106 0120105 CT096604 6"</f>
        <v>INV-0120106 0120105 CT096604 6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  <c r="AK236">
        <v>0</v>
      </c>
      <c r="AL236">
        <v>0</v>
      </c>
      <c r="AM236">
        <v>0</v>
      </c>
      <c r="AN236">
        <v>0</v>
      </c>
      <c r="AO236">
        <v>0</v>
      </c>
      <c r="AP236">
        <v>0</v>
      </c>
      <c r="AQ236">
        <v>18.03</v>
      </c>
      <c r="AR236">
        <v>0</v>
      </c>
      <c r="AS236">
        <v>0</v>
      </c>
      <c r="AT236">
        <v>0</v>
      </c>
      <c r="AU236">
        <v>0</v>
      </c>
      <c r="AV236">
        <v>0</v>
      </c>
      <c r="AW236">
        <v>0</v>
      </c>
      <c r="AX236">
        <v>0</v>
      </c>
      <c r="AY236">
        <v>0</v>
      </c>
      <c r="AZ236">
        <v>0</v>
      </c>
      <c r="BA236">
        <v>0</v>
      </c>
      <c r="BB236">
        <v>0</v>
      </c>
      <c r="BC236">
        <v>0</v>
      </c>
      <c r="BD236">
        <v>0</v>
      </c>
      <c r="BE236">
        <v>0</v>
      </c>
      <c r="BF236">
        <v>0</v>
      </c>
      <c r="BG236">
        <v>0</v>
      </c>
      <c r="BH236">
        <v>1</v>
      </c>
      <c r="BI236">
        <v>1</v>
      </c>
      <c r="BJ236">
        <v>3.8</v>
      </c>
      <c r="BK236">
        <v>4</v>
      </c>
      <c r="BL236">
        <v>55.99</v>
      </c>
      <c r="BM236">
        <v>8.4</v>
      </c>
      <c r="BN236">
        <v>64.39</v>
      </c>
      <c r="BO236">
        <v>64.39</v>
      </c>
      <c r="BQ236" t="s">
        <v>700</v>
      </c>
      <c r="BR236" t="s">
        <v>84</v>
      </c>
      <c r="BS236" s="3">
        <v>45882</v>
      </c>
      <c r="BT236" s="4">
        <v>0.38472222222222224</v>
      </c>
      <c r="BU236" t="s">
        <v>929</v>
      </c>
      <c r="BV236" t="s">
        <v>86</v>
      </c>
      <c r="BY236">
        <v>19200</v>
      </c>
      <c r="BZ236" t="s">
        <v>102</v>
      </c>
      <c r="CA236" t="s">
        <v>702</v>
      </c>
      <c r="CC236" t="s">
        <v>76</v>
      </c>
      <c r="CD236">
        <v>7441</v>
      </c>
      <c r="CE236" t="s">
        <v>930</v>
      </c>
      <c r="CF236" s="3">
        <v>45883</v>
      </c>
      <c r="CI236">
        <v>1</v>
      </c>
      <c r="CJ236">
        <v>1</v>
      </c>
      <c r="CK236">
        <v>22</v>
      </c>
      <c r="CL236" t="s">
        <v>90</v>
      </c>
    </row>
    <row r="237" spans="1:90" x14ac:dyDescent="0.3">
      <c r="A237" t="s">
        <v>72</v>
      </c>
      <c r="B237" t="s">
        <v>73</v>
      </c>
      <c r="C237" t="s">
        <v>74</v>
      </c>
      <c r="E237" t="str">
        <f>"GAB2027853"</f>
        <v>GAB2027853</v>
      </c>
      <c r="F237" s="3">
        <v>45881</v>
      </c>
      <c r="G237">
        <v>202605</v>
      </c>
      <c r="H237" t="s">
        <v>75</v>
      </c>
      <c r="I237" t="s">
        <v>76</v>
      </c>
      <c r="J237" t="s">
        <v>77</v>
      </c>
      <c r="K237" t="s">
        <v>78</v>
      </c>
      <c r="L237" t="s">
        <v>494</v>
      </c>
      <c r="M237" t="s">
        <v>495</v>
      </c>
      <c r="N237" t="s">
        <v>931</v>
      </c>
      <c r="O237" t="s">
        <v>100</v>
      </c>
      <c r="P237" t="str">
        <f>"INV-000407 00406              "</f>
        <v xml:space="preserve">INV-000407 00406              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  <c r="AK237">
        <v>0</v>
      </c>
      <c r="AL237">
        <v>0</v>
      </c>
      <c r="AM237">
        <v>0</v>
      </c>
      <c r="AN237">
        <v>0</v>
      </c>
      <c r="AO237">
        <v>0</v>
      </c>
      <c r="AP237">
        <v>0</v>
      </c>
      <c r="AQ237">
        <v>299.88</v>
      </c>
      <c r="AR237">
        <v>0</v>
      </c>
      <c r="AS237">
        <v>0</v>
      </c>
      <c r="AT237">
        <v>0</v>
      </c>
      <c r="AU237">
        <v>0</v>
      </c>
      <c r="AV237">
        <v>0</v>
      </c>
      <c r="AW237">
        <v>16.739999999999998</v>
      </c>
      <c r="AX237">
        <v>0</v>
      </c>
      <c r="AY237">
        <v>0</v>
      </c>
      <c r="AZ237">
        <v>0</v>
      </c>
      <c r="BA237">
        <v>0</v>
      </c>
      <c r="BB237">
        <v>0</v>
      </c>
      <c r="BC237">
        <v>0</v>
      </c>
      <c r="BD237">
        <v>0</v>
      </c>
      <c r="BE237">
        <v>0</v>
      </c>
      <c r="BF237">
        <v>0</v>
      </c>
      <c r="BG237">
        <v>0</v>
      </c>
      <c r="BH237">
        <v>2</v>
      </c>
      <c r="BI237">
        <v>10</v>
      </c>
      <c r="BJ237">
        <v>25.8</v>
      </c>
      <c r="BK237">
        <v>26</v>
      </c>
      <c r="BL237">
        <v>947.94</v>
      </c>
      <c r="BM237">
        <v>142.19</v>
      </c>
      <c r="BN237">
        <v>1090.1300000000001</v>
      </c>
      <c r="BO237">
        <v>1090.1300000000001</v>
      </c>
      <c r="BQ237" t="s">
        <v>509</v>
      </c>
      <c r="BR237" t="s">
        <v>84</v>
      </c>
      <c r="BS237" s="3">
        <v>45883</v>
      </c>
      <c r="BT237" s="4">
        <v>0.41666666666666669</v>
      </c>
      <c r="BU237" t="s">
        <v>932</v>
      </c>
      <c r="BV237" t="s">
        <v>86</v>
      </c>
      <c r="BY237">
        <v>64380</v>
      </c>
      <c r="BZ237" t="s">
        <v>320</v>
      </c>
      <c r="CC237" t="s">
        <v>495</v>
      </c>
      <c r="CD237">
        <v>3217</v>
      </c>
      <c r="CE237" t="s">
        <v>933</v>
      </c>
      <c r="CF237" s="3">
        <v>45884</v>
      </c>
      <c r="CI237">
        <v>5</v>
      </c>
      <c r="CJ237">
        <v>2</v>
      </c>
      <c r="CK237">
        <v>21</v>
      </c>
      <c r="CL237" t="s">
        <v>90</v>
      </c>
    </row>
    <row r="238" spans="1:90" x14ac:dyDescent="0.3">
      <c r="A238" t="s">
        <v>72</v>
      </c>
      <c r="B238" t="s">
        <v>73</v>
      </c>
      <c r="C238" t="s">
        <v>74</v>
      </c>
      <c r="E238" t="str">
        <f>"GAB2027848"</f>
        <v>GAB2027848</v>
      </c>
      <c r="F238" s="3">
        <v>45881</v>
      </c>
      <c r="G238">
        <v>202605</v>
      </c>
      <c r="H238" t="s">
        <v>75</v>
      </c>
      <c r="I238" t="s">
        <v>76</v>
      </c>
      <c r="J238" t="s">
        <v>77</v>
      </c>
      <c r="K238" t="s">
        <v>78</v>
      </c>
      <c r="L238" t="s">
        <v>190</v>
      </c>
      <c r="M238" t="s">
        <v>191</v>
      </c>
      <c r="N238" t="s">
        <v>192</v>
      </c>
      <c r="O238" t="s">
        <v>82</v>
      </c>
      <c r="P238" t="str">
        <f>"INV-00120100 CT096592         "</f>
        <v xml:space="preserve">INV-00120100 CT096592         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5.87</v>
      </c>
      <c r="AH238">
        <v>0</v>
      </c>
      <c r="AI238">
        <v>0</v>
      </c>
      <c r="AJ238">
        <v>0</v>
      </c>
      <c r="AK238">
        <v>0</v>
      </c>
      <c r="AL238">
        <v>0</v>
      </c>
      <c r="AM238">
        <v>0</v>
      </c>
      <c r="AN238">
        <v>0</v>
      </c>
      <c r="AO238">
        <v>0</v>
      </c>
      <c r="AP238">
        <v>0</v>
      </c>
      <c r="AQ238">
        <v>63.07</v>
      </c>
      <c r="AR238">
        <v>0</v>
      </c>
      <c r="AS238">
        <v>0</v>
      </c>
      <c r="AT238">
        <v>0</v>
      </c>
      <c r="AU238">
        <v>0</v>
      </c>
      <c r="AV238">
        <v>0</v>
      </c>
      <c r="AW238">
        <v>0</v>
      </c>
      <c r="AX238">
        <v>0</v>
      </c>
      <c r="AY238">
        <v>0</v>
      </c>
      <c r="AZ238">
        <v>0</v>
      </c>
      <c r="BA238">
        <v>0</v>
      </c>
      <c r="BB238">
        <v>0</v>
      </c>
      <c r="BC238">
        <v>0</v>
      </c>
      <c r="BD238">
        <v>0</v>
      </c>
      <c r="BE238">
        <v>0</v>
      </c>
      <c r="BF238">
        <v>0</v>
      </c>
      <c r="BG238">
        <v>0</v>
      </c>
      <c r="BH238">
        <v>2</v>
      </c>
      <c r="BI238">
        <v>15</v>
      </c>
      <c r="BJ238">
        <v>24.2</v>
      </c>
      <c r="BK238">
        <v>25</v>
      </c>
      <c r="BL238">
        <v>201.72</v>
      </c>
      <c r="BM238">
        <v>30.26</v>
      </c>
      <c r="BN238">
        <v>231.98</v>
      </c>
      <c r="BO238">
        <v>231.98</v>
      </c>
      <c r="BR238" t="s">
        <v>84</v>
      </c>
      <c r="BS238" s="3">
        <v>45883</v>
      </c>
      <c r="BT238" s="4">
        <v>0.36041666666666666</v>
      </c>
      <c r="BU238" t="s">
        <v>934</v>
      </c>
      <c r="BV238" t="s">
        <v>86</v>
      </c>
      <c r="BY238">
        <v>121194</v>
      </c>
      <c r="CA238" t="s">
        <v>935</v>
      </c>
      <c r="CC238" t="s">
        <v>191</v>
      </c>
      <c r="CD238" s="5" t="s">
        <v>196</v>
      </c>
      <c r="CE238" t="s">
        <v>171</v>
      </c>
      <c r="CF238" s="3">
        <v>45883</v>
      </c>
      <c r="CI238">
        <v>3</v>
      </c>
      <c r="CJ238">
        <v>2</v>
      </c>
      <c r="CK238">
        <v>41</v>
      </c>
      <c r="CL238" t="s">
        <v>90</v>
      </c>
    </row>
    <row r="239" spans="1:90" x14ac:dyDescent="0.3">
      <c r="A239" t="s">
        <v>72</v>
      </c>
      <c r="B239" t="s">
        <v>73</v>
      </c>
      <c r="C239" t="s">
        <v>74</v>
      </c>
      <c r="E239" t="str">
        <f>"009945156779"</f>
        <v>009945156779</v>
      </c>
      <c r="F239" s="3">
        <v>45882</v>
      </c>
      <c r="G239">
        <v>202605</v>
      </c>
      <c r="H239" t="s">
        <v>79</v>
      </c>
      <c r="I239" t="s">
        <v>80</v>
      </c>
      <c r="J239" t="s">
        <v>257</v>
      </c>
      <c r="K239" t="s">
        <v>78</v>
      </c>
      <c r="L239" t="s">
        <v>75</v>
      </c>
      <c r="M239" t="s">
        <v>76</v>
      </c>
      <c r="N239" t="s">
        <v>936</v>
      </c>
      <c r="O239" t="s">
        <v>100</v>
      </c>
      <c r="P239" t="str">
        <f>"NO REF                        "</f>
        <v xml:space="preserve">NO REF                        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  <c r="AK239">
        <v>0</v>
      </c>
      <c r="AL239">
        <v>0</v>
      </c>
      <c r="AM239">
        <v>0</v>
      </c>
      <c r="AN239">
        <v>0</v>
      </c>
      <c r="AO239">
        <v>0</v>
      </c>
      <c r="AP239">
        <v>0</v>
      </c>
      <c r="AQ239">
        <v>23.09</v>
      </c>
      <c r="AR239">
        <v>0</v>
      </c>
      <c r="AS239">
        <v>0</v>
      </c>
      <c r="AT239">
        <v>0</v>
      </c>
      <c r="AU239">
        <v>0</v>
      </c>
      <c r="AV239">
        <v>0</v>
      </c>
      <c r="AW239">
        <v>0</v>
      </c>
      <c r="AX239">
        <v>0</v>
      </c>
      <c r="AY239">
        <v>0</v>
      </c>
      <c r="AZ239">
        <v>0</v>
      </c>
      <c r="BA239">
        <v>0</v>
      </c>
      <c r="BB239">
        <v>0</v>
      </c>
      <c r="BC239">
        <v>0</v>
      </c>
      <c r="BD239">
        <v>0</v>
      </c>
      <c r="BE239">
        <v>0</v>
      </c>
      <c r="BF239">
        <v>0</v>
      </c>
      <c r="BG239">
        <v>0</v>
      </c>
      <c r="BH239">
        <v>1</v>
      </c>
      <c r="BI239">
        <v>1</v>
      </c>
      <c r="BJ239">
        <v>0.2</v>
      </c>
      <c r="BK239">
        <v>1</v>
      </c>
      <c r="BL239">
        <v>71.69</v>
      </c>
      <c r="BM239">
        <v>10.75</v>
      </c>
      <c r="BN239">
        <v>82.44</v>
      </c>
      <c r="BO239">
        <v>82.44</v>
      </c>
      <c r="BQ239" t="s">
        <v>937</v>
      </c>
      <c r="BR239" t="s">
        <v>608</v>
      </c>
      <c r="BS239" s="3">
        <v>45883</v>
      </c>
      <c r="BT239" s="4">
        <v>0.46041666666666664</v>
      </c>
      <c r="BU239" t="s">
        <v>349</v>
      </c>
      <c r="BV239" t="s">
        <v>90</v>
      </c>
      <c r="BW239" t="s">
        <v>156</v>
      </c>
      <c r="BX239" t="s">
        <v>163</v>
      </c>
      <c r="BY239">
        <v>1200</v>
      </c>
      <c r="BZ239" t="s">
        <v>102</v>
      </c>
      <c r="CA239" t="s">
        <v>351</v>
      </c>
      <c r="CC239" t="s">
        <v>76</v>
      </c>
      <c r="CD239">
        <v>8000</v>
      </c>
      <c r="CE239" t="s">
        <v>355</v>
      </c>
      <c r="CF239" s="3">
        <v>45884</v>
      </c>
      <c r="CI239">
        <v>1</v>
      </c>
      <c r="CJ239">
        <v>1</v>
      </c>
      <c r="CK239">
        <v>21</v>
      </c>
      <c r="CL239" t="s">
        <v>90</v>
      </c>
    </row>
    <row r="240" spans="1:90" x14ac:dyDescent="0.3">
      <c r="A240" t="s">
        <v>72</v>
      </c>
      <c r="B240" t="s">
        <v>73</v>
      </c>
      <c r="C240" t="s">
        <v>74</v>
      </c>
      <c r="E240" t="str">
        <f>"GAB2027864"</f>
        <v>GAB2027864</v>
      </c>
      <c r="F240" s="3">
        <v>45882</v>
      </c>
      <c r="G240">
        <v>202605</v>
      </c>
      <c r="H240" t="s">
        <v>75</v>
      </c>
      <c r="I240" t="s">
        <v>76</v>
      </c>
      <c r="J240" t="s">
        <v>77</v>
      </c>
      <c r="K240" t="s">
        <v>78</v>
      </c>
      <c r="L240" t="s">
        <v>938</v>
      </c>
      <c r="M240" t="s">
        <v>939</v>
      </c>
      <c r="N240" t="s">
        <v>940</v>
      </c>
      <c r="O240" t="s">
        <v>82</v>
      </c>
      <c r="P240" t="str">
        <f>"INV-00120124 00120128 CT096611"</f>
        <v>INV-00120124 00120128 CT096611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5.87</v>
      </c>
      <c r="AH240">
        <v>0</v>
      </c>
      <c r="AI240">
        <v>0</v>
      </c>
      <c r="AJ240">
        <v>0</v>
      </c>
      <c r="AK240">
        <v>0</v>
      </c>
      <c r="AL240">
        <v>0</v>
      </c>
      <c r="AM240">
        <v>0</v>
      </c>
      <c r="AN240">
        <v>0</v>
      </c>
      <c r="AO240">
        <v>0</v>
      </c>
      <c r="AP240">
        <v>0</v>
      </c>
      <c r="AQ240">
        <v>75.819999999999993</v>
      </c>
      <c r="AR240">
        <v>0</v>
      </c>
      <c r="AS240">
        <v>0</v>
      </c>
      <c r="AT240">
        <v>0</v>
      </c>
      <c r="AU240">
        <v>0</v>
      </c>
      <c r="AV240">
        <v>0</v>
      </c>
      <c r="AW240">
        <v>0</v>
      </c>
      <c r="AX240">
        <v>0</v>
      </c>
      <c r="AY240">
        <v>0</v>
      </c>
      <c r="AZ240">
        <v>0</v>
      </c>
      <c r="BA240">
        <v>0</v>
      </c>
      <c r="BB240">
        <v>0</v>
      </c>
      <c r="BC240">
        <v>0</v>
      </c>
      <c r="BD240">
        <v>0</v>
      </c>
      <c r="BE240">
        <v>0</v>
      </c>
      <c r="BF240">
        <v>0</v>
      </c>
      <c r="BG240">
        <v>0</v>
      </c>
      <c r="BH240">
        <v>2</v>
      </c>
      <c r="BI240">
        <v>6.2</v>
      </c>
      <c r="BJ240">
        <v>18.8</v>
      </c>
      <c r="BK240">
        <v>19</v>
      </c>
      <c r="BL240">
        <v>241.32</v>
      </c>
      <c r="BM240">
        <v>36.200000000000003</v>
      </c>
      <c r="BN240">
        <v>277.52</v>
      </c>
      <c r="BO240">
        <v>277.52</v>
      </c>
      <c r="BQ240" t="s">
        <v>168</v>
      </c>
      <c r="BR240" t="s">
        <v>84</v>
      </c>
      <c r="BS240" s="3">
        <v>45884</v>
      </c>
      <c r="BT240" s="4">
        <v>0.4548611111111111</v>
      </c>
      <c r="BU240" t="s">
        <v>941</v>
      </c>
      <c r="BV240" t="s">
        <v>86</v>
      </c>
      <c r="BY240">
        <v>93780.09</v>
      </c>
      <c r="CC240" t="s">
        <v>939</v>
      </c>
      <c r="CD240">
        <v>9810</v>
      </c>
      <c r="CE240" t="s">
        <v>171</v>
      </c>
      <c r="CF240" s="3">
        <v>45887</v>
      </c>
      <c r="CI240">
        <v>2</v>
      </c>
      <c r="CJ240">
        <v>2</v>
      </c>
      <c r="CK240">
        <v>43</v>
      </c>
      <c r="CL240" t="s">
        <v>90</v>
      </c>
    </row>
    <row r="241" spans="1:90" x14ac:dyDescent="0.3">
      <c r="A241" t="s">
        <v>72</v>
      </c>
      <c r="B241" t="s">
        <v>73</v>
      </c>
      <c r="C241" t="s">
        <v>74</v>
      </c>
      <c r="E241" t="str">
        <f>"GAB2027872"</f>
        <v>GAB2027872</v>
      </c>
      <c r="F241" s="3">
        <v>45882</v>
      </c>
      <c r="G241">
        <v>202605</v>
      </c>
      <c r="H241" t="s">
        <v>75</v>
      </c>
      <c r="I241" t="s">
        <v>76</v>
      </c>
      <c r="J241" t="s">
        <v>77</v>
      </c>
      <c r="K241" t="s">
        <v>78</v>
      </c>
      <c r="L241" t="s">
        <v>190</v>
      </c>
      <c r="M241" t="s">
        <v>191</v>
      </c>
      <c r="N241" t="s">
        <v>257</v>
      </c>
      <c r="O241" t="s">
        <v>82</v>
      </c>
      <c r="P241" t="str">
        <f>"att:monique                   "</f>
        <v xml:space="preserve">att:monique                   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5.87</v>
      </c>
      <c r="AH241">
        <v>0</v>
      </c>
      <c r="AI241">
        <v>0</v>
      </c>
      <c r="AJ241">
        <v>0</v>
      </c>
      <c r="AK241">
        <v>0</v>
      </c>
      <c r="AL241">
        <v>0</v>
      </c>
      <c r="AM241">
        <v>0</v>
      </c>
      <c r="AN241">
        <v>0</v>
      </c>
      <c r="AO241">
        <v>0</v>
      </c>
      <c r="AP241">
        <v>0</v>
      </c>
      <c r="AQ241">
        <v>109.15</v>
      </c>
      <c r="AR241">
        <v>0</v>
      </c>
      <c r="AS241">
        <v>0</v>
      </c>
      <c r="AT241">
        <v>0</v>
      </c>
      <c r="AU241">
        <v>0</v>
      </c>
      <c r="AV241">
        <v>0</v>
      </c>
      <c r="AW241">
        <v>0</v>
      </c>
      <c r="AX241">
        <v>0</v>
      </c>
      <c r="AY241">
        <v>0</v>
      </c>
      <c r="AZ241">
        <v>0</v>
      </c>
      <c r="BA241">
        <v>0</v>
      </c>
      <c r="BB241">
        <v>0</v>
      </c>
      <c r="BC241">
        <v>0</v>
      </c>
      <c r="BD241">
        <v>0</v>
      </c>
      <c r="BE241">
        <v>0</v>
      </c>
      <c r="BF241">
        <v>0</v>
      </c>
      <c r="BG241">
        <v>0</v>
      </c>
      <c r="BH241">
        <v>2</v>
      </c>
      <c r="BI241">
        <v>27.5</v>
      </c>
      <c r="BJ241">
        <v>49.1</v>
      </c>
      <c r="BK241">
        <v>50</v>
      </c>
      <c r="BL241">
        <v>344.8</v>
      </c>
      <c r="BM241">
        <v>51.72</v>
      </c>
      <c r="BN241">
        <v>396.52</v>
      </c>
      <c r="BO241">
        <v>396.52</v>
      </c>
      <c r="BQ241" t="s">
        <v>593</v>
      </c>
      <c r="BR241" t="s">
        <v>84</v>
      </c>
      <c r="BS241" s="3">
        <v>45884</v>
      </c>
      <c r="BT241" s="4">
        <v>0.36944444444444446</v>
      </c>
      <c r="BU241" t="s">
        <v>259</v>
      </c>
      <c r="BV241" t="s">
        <v>86</v>
      </c>
      <c r="BY241">
        <v>245494.2</v>
      </c>
      <c r="CA241" t="s">
        <v>260</v>
      </c>
      <c r="CC241" t="s">
        <v>191</v>
      </c>
      <c r="CD241" s="5" t="s">
        <v>196</v>
      </c>
      <c r="CE241" t="s">
        <v>89</v>
      </c>
      <c r="CF241" s="3">
        <v>45884</v>
      </c>
      <c r="CI241">
        <v>3</v>
      </c>
      <c r="CJ241">
        <v>2</v>
      </c>
      <c r="CK241">
        <v>41</v>
      </c>
      <c r="CL241" t="s">
        <v>90</v>
      </c>
    </row>
    <row r="242" spans="1:90" x14ac:dyDescent="0.3">
      <c r="A242" t="s">
        <v>72</v>
      </c>
      <c r="B242" t="s">
        <v>73</v>
      </c>
      <c r="C242" t="s">
        <v>74</v>
      </c>
      <c r="E242" t="str">
        <f>"GAB2027854"</f>
        <v>GAB2027854</v>
      </c>
      <c r="F242" s="3">
        <v>45882</v>
      </c>
      <c r="G242">
        <v>202605</v>
      </c>
      <c r="H242" t="s">
        <v>75</v>
      </c>
      <c r="I242" t="s">
        <v>76</v>
      </c>
      <c r="J242" t="s">
        <v>77</v>
      </c>
      <c r="K242" t="s">
        <v>78</v>
      </c>
      <c r="L242" t="s">
        <v>832</v>
      </c>
      <c r="M242" t="s">
        <v>833</v>
      </c>
      <c r="N242" t="s">
        <v>834</v>
      </c>
      <c r="O242" t="s">
        <v>100</v>
      </c>
      <c r="P242" t="str">
        <f>"INV-00120107 CT096608         "</f>
        <v xml:space="preserve">INV-00120107 CT096608         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  <c r="AK242">
        <v>0</v>
      </c>
      <c r="AL242">
        <v>0</v>
      </c>
      <c r="AM242">
        <v>0</v>
      </c>
      <c r="AN242">
        <v>0</v>
      </c>
      <c r="AO242">
        <v>0</v>
      </c>
      <c r="AP242">
        <v>0</v>
      </c>
      <c r="AQ242">
        <v>95.22</v>
      </c>
      <c r="AR242">
        <v>0</v>
      </c>
      <c r="AS242">
        <v>0</v>
      </c>
      <c r="AT242">
        <v>0</v>
      </c>
      <c r="AU242">
        <v>0</v>
      </c>
      <c r="AV242">
        <v>0</v>
      </c>
      <c r="AW242">
        <v>0</v>
      </c>
      <c r="AX242">
        <v>0</v>
      </c>
      <c r="AY242">
        <v>0</v>
      </c>
      <c r="AZ242">
        <v>0</v>
      </c>
      <c r="BA242">
        <v>0</v>
      </c>
      <c r="BB242">
        <v>0</v>
      </c>
      <c r="BC242">
        <v>0</v>
      </c>
      <c r="BD242">
        <v>0</v>
      </c>
      <c r="BE242">
        <v>0</v>
      </c>
      <c r="BF242">
        <v>0</v>
      </c>
      <c r="BG242">
        <v>0</v>
      </c>
      <c r="BH242">
        <v>2</v>
      </c>
      <c r="BI242">
        <v>1.7</v>
      </c>
      <c r="BJ242">
        <v>4.3</v>
      </c>
      <c r="BK242">
        <v>4.5</v>
      </c>
      <c r="BL242">
        <v>295.68</v>
      </c>
      <c r="BM242">
        <v>44.35</v>
      </c>
      <c r="BN242">
        <v>340.03</v>
      </c>
      <c r="BO242">
        <v>340.03</v>
      </c>
      <c r="BQ242" t="s">
        <v>942</v>
      </c>
      <c r="BR242" t="s">
        <v>84</v>
      </c>
      <c r="BS242" s="3">
        <v>45883</v>
      </c>
      <c r="BT242" s="4">
        <v>0.41249999999999998</v>
      </c>
      <c r="BU242" t="s">
        <v>566</v>
      </c>
      <c r="BV242" t="s">
        <v>86</v>
      </c>
      <c r="BY242">
        <v>21477.67</v>
      </c>
      <c r="BZ242" t="s">
        <v>102</v>
      </c>
      <c r="CC242" t="s">
        <v>833</v>
      </c>
      <c r="CD242">
        <v>1900</v>
      </c>
      <c r="CE242" t="s">
        <v>109</v>
      </c>
      <c r="CF242" s="3">
        <v>45884</v>
      </c>
      <c r="CI242">
        <v>1</v>
      </c>
      <c r="CJ242">
        <v>1</v>
      </c>
      <c r="CK242">
        <v>23</v>
      </c>
      <c r="CL242" t="s">
        <v>90</v>
      </c>
    </row>
    <row r="243" spans="1:90" x14ac:dyDescent="0.3">
      <c r="A243" t="s">
        <v>72</v>
      </c>
      <c r="B243" t="s">
        <v>73</v>
      </c>
      <c r="C243" t="s">
        <v>74</v>
      </c>
      <c r="E243" t="str">
        <f>"GAB2027855"</f>
        <v>GAB2027855</v>
      </c>
      <c r="F243" s="3">
        <v>45882</v>
      </c>
      <c r="G243">
        <v>202605</v>
      </c>
      <c r="H243" t="s">
        <v>75</v>
      </c>
      <c r="I243" t="s">
        <v>76</v>
      </c>
      <c r="J243" t="s">
        <v>77</v>
      </c>
      <c r="K243" t="s">
        <v>78</v>
      </c>
      <c r="L243" t="s">
        <v>91</v>
      </c>
      <c r="M243" t="s">
        <v>92</v>
      </c>
      <c r="N243" t="s">
        <v>943</v>
      </c>
      <c r="O243" t="s">
        <v>100</v>
      </c>
      <c r="P243" t="str">
        <f>"INV-00038426 035422           "</f>
        <v xml:space="preserve">INV-00038426 035422           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  <c r="AK243">
        <v>0</v>
      </c>
      <c r="AL243">
        <v>0</v>
      </c>
      <c r="AM243">
        <v>0</v>
      </c>
      <c r="AN243">
        <v>0</v>
      </c>
      <c r="AO243">
        <v>0</v>
      </c>
      <c r="AP243">
        <v>0</v>
      </c>
      <c r="AQ243">
        <v>51.92</v>
      </c>
      <c r="AR243">
        <v>0</v>
      </c>
      <c r="AS243">
        <v>0</v>
      </c>
      <c r="AT243">
        <v>0</v>
      </c>
      <c r="AU243">
        <v>0</v>
      </c>
      <c r="AV243">
        <v>0</v>
      </c>
      <c r="AW243">
        <v>0</v>
      </c>
      <c r="AX243">
        <v>0</v>
      </c>
      <c r="AY243">
        <v>0</v>
      </c>
      <c r="AZ243">
        <v>0</v>
      </c>
      <c r="BA243">
        <v>0</v>
      </c>
      <c r="BB243">
        <v>0</v>
      </c>
      <c r="BC243">
        <v>0</v>
      </c>
      <c r="BD243">
        <v>0</v>
      </c>
      <c r="BE243">
        <v>0</v>
      </c>
      <c r="BF243">
        <v>0</v>
      </c>
      <c r="BG243">
        <v>0</v>
      </c>
      <c r="BH243">
        <v>2</v>
      </c>
      <c r="BI243">
        <v>1.8</v>
      </c>
      <c r="BJ243">
        <v>4.4000000000000004</v>
      </c>
      <c r="BK243">
        <v>4.5</v>
      </c>
      <c r="BL243">
        <v>161.22</v>
      </c>
      <c r="BM243">
        <v>24.18</v>
      </c>
      <c r="BN243">
        <v>185.4</v>
      </c>
      <c r="BO243">
        <v>185.4</v>
      </c>
      <c r="BQ243" t="s">
        <v>106</v>
      </c>
      <c r="BR243" t="s">
        <v>84</v>
      </c>
      <c r="BS243" s="3">
        <v>45888</v>
      </c>
      <c r="BT243" s="4">
        <v>0.54166666666666663</v>
      </c>
      <c r="BU243" t="s">
        <v>787</v>
      </c>
      <c r="BV243" t="s">
        <v>90</v>
      </c>
      <c r="BY243">
        <v>21982.400000000001</v>
      </c>
      <c r="BZ243" t="s">
        <v>102</v>
      </c>
      <c r="CA243" t="s">
        <v>788</v>
      </c>
      <c r="CC243" t="s">
        <v>92</v>
      </c>
      <c r="CD243">
        <v>4091</v>
      </c>
      <c r="CE243" t="s">
        <v>109</v>
      </c>
      <c r="CI243">
        <v>2</v>
      </c>
      <c r="CJ243">
        <v>4</v>
      </c>
      <c r="CK243">
        <v>21</v>
      </c>
      <c r="CL243" t="s">
        <v>90</v>
      </c>
    </row>
    <row r="244" spans="1:90" x14ac:dyDescent="0.3">
      <c r="A244" t="s">
        <v>72</v>
      </c>
      <c r="B244" t="s">
        <v>73</v>
      </c>
      <c r="C244" t="s">
        <v>74</v>
      </c>
      <c r="E244" t="str">
        <f>"GAB2027856"</f>
        <v>GAB2027856</v>
      </c>
      <c r="F244" s="3">
        <v>45882</v>
      </c>
      <c r="G244">
        <v>202605</v>
      </c>
      <c r="H244" t="s">
        <v>75</v>
      </c>
      <c r="I244" t="s">
        <v>76</v>
      </c>
      <c r="J244" t="s">
        <v>77</v>
      </c>
      <c r="K244" t="s">
        <v>78</v>
      </c>
      <c r="L244" t="s">
        <v>494</v>
      </c>
      <c r="M244" t="s">
        <v>495</v>
      </c>
      <c r="N244" t="s">
        <v>944</v>
      </c>
      <c r="O244" t="s">
        <v>100</v>
      </c>
      <c r="P244" t="str">
        <f>"INV-00120074 CT096583         "</f>
        <v xml:space="preserve">INV-00120074 CT096583         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v>0</v>
      </c>
      <c r="AL244">
        <v>0</v>
      </c>
      <c r="AM244">
        <v>0</v>
      </c>
      <c r="AN244">
        <v>0</v>
      </c>
      <c r="AO244">
        <v>0</v>
      </c>
      <c r="AP244">
        <v>0</v>
      </c>
      <c r="AQ244">
        <v>69.22</v>
      </c>
      <c r="AR244">
        <v>0</v>
      </c>
      <c r="AS244">
        <v>0</v>
      </c>
      <c r="AT244">
        <v>0</v>
      </c>
      <c r="AU244">
        <v>0</v>
      </c>
      <c r="AV244">
        <v>0</v>
      </c>
      <c r="AW244">
        <v>0</v>
      </c>
      <c r="AX244">
        <v>0</v>
      </c>
      <c r="AY244">
        <v>0</v>
      </c>
      <c r="AZ244">
        <v>0</v>
      </c>
      <c r="BA244">
        <v>0</v>
      </c>
      <c r="BB244">
        <v>0</v>
      </c>
      <c r="BC244">
        <v>0</v>
      </c>
      <c r="BD244">
        <v>0</v>
      </c>
      <c r="BE244">
        <v>0</v>
      </c>
      <c r="BF244">
        <v>0</v>
      </c>
      <c r="BG244">
        <v>0</v>
      </c>
      <c r="BH244">
        <v>2</v>
      </c>
      <c r="BI244">
        <v>1.8</v>
      </c>
      <c r="BJ244">
        <v>5.9</v>
      </c>
      <c r="BK244">
        <v>6</v>
      </c>
      <c r="BL244">
        <v>214.94</v>
      </c>
      <c r="BM244">
        <v>32.24</v>
      </c>
      <c r="BN244">
        <v>247.18</v>
      </c>
      <c r="BO244">
        <v>247.18</v>
      </c>
      <c r="BQ244" t="s">
        <v>945</v>
      </c>
      <c r="BR244" t="s">
        <v>84</v>
      </c>
      <c r="BS244" s="3">
        <v>45884</v>
      </c>
      <c r="BT244" s="4">
        <v>0.41666666666666669</v>
      </c>
      <c r="BU244" t="s">
        <v>946</v>
      </c>
      <c r="BV244" t="s">
        <v>90</v>
      </c>
      <c r="BY244">
        <v>29733.06</v>
      </c>
      <c r="BZ244" t="s">
        <v>102</v>
      </c>
      <c r="CA244" t="s">
        <v>947</v>
      </c>
      <c r="CC244" t="s">
        <v>495</v>
      </c>
      <c r="CD244">
        <v>3201</v>
      </c>
      <c r="CE244" t="s">
        <v>143</v>
      </c>
      <c r="CF244" s="3">
        <v>45885</v>
      </c>
      <c r="CI244">
        <v>1</v>
      </c>
      <c r="CJ244">
        <v>2</v>
      </c>
      <c r="CK244">
        <v>21</v>
      </c>
      <c r="CL244" t="s">
        <v>90</v>
      </c>
    </row>
    <row r="245" spans="1:90" x14ac:dyDescent="0.3">
      <c r="A245" t="s">
        <v>72</v>
      </c>
      <c r="B245" t="s">
        <v>73</v>
      </c>
      <c r="C245" t="s">
        <v>74</v>
      </c>
      <c r="E245" t="str">
        <f>"GAB2027858"</f>
        <v>GAB2027858</v>
      </c>
      <c r="F245" s="3">
        <v>45882</v>
      </c>
      <c r="G245">
        <v>202605</v>
      </c>
      <c r="H245" t="s">
        <v>75</v>
      </c>
      <c r="I245" t="s">
        <v>76</v>
      </c>
      <c r="J245" t="s">
        <v>77</v>
      </c>
      <c r="K245" t="s">
        <v>78</v>
      </c>
      <c r="L245" t="s">
        <v>494</v>
      </c>
      <c r="M245" t="s">
        <v>495</v>
      </c>
      <c r="N245" t="s">
        <v>948</v>
      </c>
      <c r="O245" t="s">
        <v>100</v>
      </c>
      <c r="P245" t="str">
        <f>"INV-00038441 035423           "</f>
        <v xml:space="preserve">INV-00038441 035423           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  <c r="AK245">
        <v>0</v>
      </c>
      <c r="AL245">
        <v>0</v>
      </c>
      <c r="AM245">
        <v>0</v>
      </c>
      <c r="AN245">
        <v>0</v>
      </c>
      <c r="AO245">
        <v>0</v>
      </c>
      <c r="AP245">
        <v>0</v>
      </c>
      <c r="AQ245">
        <v>51.92</v>
      </c>
      <c r="AR245">
        <v>0</v>
      </c>
      <c r="AS245">
        <v>0</v>
      </c>
      <c r="AT245">
        <v>0</v>
      </c>
      <c r="AU245">
        <v>0</v>
      </c>
      <c r="AV245">
        <v>0</v>
      </c>
      <c r="AW245">
        <v>0</v>
      </c>
      <c r="AX245">
        <v>0</v>
      </c>
      <c r="AY245">
        <v>0</v>
      </c>
      <c r="AZ245">
        <v>0</v>
      </c>
      <c r="BA245">
        <v>0</v>
      </c>
      <c r="BB245">
        <v>0</v>
      </c>
      <c r="BC245">
        <v>0</v>
      </c>
      <c r="BD245">
        <v>0</v>
      </c>
      <c r="BE245">
        <v>0</v>
      </c>
      <c r="BF245">
        <v>0</v>
      </c>
      <c r="BG245">
        <v>0</v>
      </c>
      <c r="BH245">
        <v>2</v>
      </c>
      <c r="BI245">
        <v>1.7</v>
      </c>
      <c r="BJ245">
        <v>4.4000000000000004</v>
      </c>
      <c r="BK245">
        <v>4.5</v>
      </c>
      <c r="BL245">
        <v>161.22</v>
      </c>
      <c r="BM245">
        <v>24.18</v>
      </c>
      <c r="BN245">
        <v>185.4</v>
      </c>
      <c r="BO245">
        <v>185.4</v>
      </c>
      <c r="BQ245" t="s">
        <v>135</v>
      </c>
      <c r="BR245" t="s">
        <v>84</v>
      </c>
      <c r="BS245" s="3">
        <v>45884</v>
      </c>
      <c r="BT245" s="4">
        <v>0.41666666666666669</v>
      </c>
      <c r="BU245" t="s">
        <v>949</v>
      </c>
      <c r="BV245" t="s">
        <v>90</v>
      </c>
      <c r="BY245">
        <v>21776.48</v>
      </c>
      <c r="BZ245" t="s">
        <v>102</v>
      </c>
      <c r="CA245" t="s">
        <v>950</v>
      </c>
      <c r="CC245" t="s">
        <v>495</v>
      </c>
      <c r="CD245">
        <v>3201</v>
      </c>
      <c r="CE245" t="s">
        <v>116</v>
      </c>
      <c r="CF245" s="3">
        <v>45885</v>
      </c>
      <c r="CI245">
        <v>1</v>
      </c>
      <c r="CJ245">
        <v>2</v>
      </c>
      <c r="CK245">
        <v>21</v>
      </c>
      <c r="CL245" t="s">
        <v>90</v>
      </c>
    </row>
    <row r="246" spans="1:90" x14ac:dyDescent="0.3">
      <c r="A246" t="s">
        <v>72</v>
      </c>
      <c r="B246" t="s">
        <v>73</v>
      </c>
      <c r="C246" t="s">
        <v>74</v>
      </c>
      <c r="E246" t="str">
        <f>"GAB2027859"</f>
        <v>GAB2027859</v>
      </c>
      <c r="F246" s="3">
        <v>45882</v>
      </c>
      <c r="G246">
        <v>202605</v>
      </c>
      <c r="H246" t="s">
        <v>75</v>
      </c>
      <c r="I246" t="s">
        <v>76</v>
      </c>
      <c r="J246" t="s">
        <v>77</v>
      </c>
      <c r="K246" t="s">
        <v>78</v>
      </c>
      <c r="L246" t="s">
        <v>79</v>
      </c>
      <c r="M246" t="s">
        <v>80</v>
      </c>
      <c r="N246" t="s">
        <v>286</v>
      </c>
      <c r="O246" t="s">
        <v>100</v>
      </c>
      <c r="P246" t="str">
        <f>"INV-00038440 035424           "</f>
        <v xml:space="preserve">INV-00038440 035424           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  <c r="AK246">
        <v>0</v>
      </c>
      <c r="AL246">
        <v>0</v>
      </c>
      <c r="AM246">
        <v>0</v>
      </c>
      <c r="AN246">
        <v>0</v>
      </c>
      <c r="AO246">
        <v>0</v>
      </c>
      <c r="AP246">
        <v>0</v>
      </c>
      <c r="AQ246">
        <v>40.380000000000003</v>
      </c>
      <c r="AR246">
        <v>0</v>
      </c>
      <c r="AS246">
        <v>0</v>
      </c>
      <c r="AT246">
        <v>0</v>
      </c>
      <c r="AU246">
        <v>0</v>
      </c>
      <c r="AV246">
        <v>0</v>
      </c>
      <c r="AW246">
        <v>0</v>
      </c>
      <c r="AX246">
        <v>0</v>
      </c>
      <c r="AY246">
        <v>0</v>
      </c>
      <c r="AZ246">
        <v>0</v>
      </c>
      <c r="BA246">
        <v>0</v>
      </c>
      <c r="BB246">
        <v>0</v>
      </c>
      <c r="BC246">
        <v>0</v>
      </c>
      <c r="BD246">
        <v>0</v>
      </c>
      <c r="BE246">
        <v>0</v>
      </c>
      <c r="BF246">
        <v>0</v>
      </c>
      <c r="BG246">
        <v>0</v>
      </c>
      <c r="BH246">
        <v>2</v>
      </c>
      <c r="BI246">
        <v>2</v>
      </c>
      <c r="BJ246">
        <v>3.5</v>
      </c>
      <c r="BK246">
        <v>3.5</v>
      </c>
      <c r="BL246">
        <v>125.4</v>
      </c>
      <c r="BM246">
        <v>18.809999999999999</v>
      </c>
      <c r="BN246">
        <v>144.21</v>
      </c>
      <c r="BO246">
        <v>144.21</v>
      </c>
      <c r="BQ246" t="s">
        <v>287</v>
      </c>
      <c r="BR246" t="s">
        <v>84</v>
      </c>
      <c r="BS246" s="3">
        <v>45883</v>
      </c>
      <c r="BT246" s="4">
        <v>0.33680555555555558</v>
      </c>
      <c r="BU246" t="s">
        <v>951</v>
      </c>
      <c r="BV246" t="s">
        <v>86</v>
      </c>
      <c r="BY246">
        <v>17383.2</v>
      </c>
      <c r="BZ246" t="s">
        <v>102</v>
      </c>
      <c r="CA246" t="s">
        <v>289</v>
      </c>
      <c r="CC246" t="s">
        <v>80</v>
      </c>
      <c r="CD246" s="5" t="s">
        <v>147</v>
      </c>
      <c r="CE246" t="s">
        <v>952</v>
      </c>
      <c r="CF246" s="3">
        <v>45883</v>
      </c>
      <c r="CI246">
        <v>1</v>
      </c>
      <c r="CJ246">
        <v>1</v>
      </c>
      <c r="CK246">
        <v>21</v>
      </c>
      <c r="CL246" t="s">
        <v>90</v>
      </c>
    </row>
    <row r="247" spans="1:90" x14ac:dyDescent="0.3">
      <c r="A247" t="s">
        <v>72</v>
      </c>
      <c r="B247" t="s">
        <v>73</v>
      </c>
      <c r="C247" t="s">
        <v>74</v>
      </c>
      <c r="E247" t="str">
        <f>"GAB2027860"</f>
        <v>GAB2027860</v>
      </c>
      <c r="F247" s="3">
        <v>45882</v>
      </c>
      <c r="G247">
        <v>202605</v>
      </c>
      <c r="H247" t="s">
        <v>75</v>
      </c>
      <c r="I247" t="s">
        <v>76</v>
      </c>
      <c r="J247" t="s">
        <v>77</v>
      </c>
      <c r="K247" t="s">
        <v>78</v>
      </c>
      <c r="L247" t="s">
        <v>444</v>
      </c>
      <c r="M247" t="s">
        <v>445</v>
      </c>
      <c r="N247" t="s">
        <v>446</v>
      </c>
      <c r="O247" t="s">
        <v>100</v>
      </c>
      <c r="P247" t="str">
        <f>"INV-00038439 035397           "</f>
        <v xml:space="preserve">INV-00038439 035397           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v>0</v>
      </c>
      <c r="AL247">
        <v>0</v>
      </c>
      <c r="AM247">
        <v>0</v>
      </c>
      <c r="AN247">
        <v>0</v>
      </c>
      <c r="AO247">
        <v>0</v>
      </c>
      <c r="AP247">
        <v>0</v>
      </c>
      <c r="AQ247">
        <v>95.22</v>
      </c>
      <c r="AR247">
        <v>0</v>
      </c>
      <c r="AS247">
        <v>0</v>
      </c>
      <c r="AT247">
        <v>0</v>
      </c>
      <c r="AU247">
        <v>0</v>
      </c>
      <c r="AV247">
        <v>0</v>
      </c>
      <c r="AW247">
        <v>0</v>
      </c>
      <c r="AX247">
        <v>0</v>
      </c>
      <c r="AY247">
        <v>0</v>
      </c>
      <c r="AZ247">
        <v>0</v>
      </c>
      <c r="BA247">
        <v>0</v>
      </c>
      <c r="BB247">
        <v>0</v>
      </c>
      <c r="BC247">
        <v>0</v>
      </c>
      <c r="BD247">
        <v>0</v>
      </c>
      <c r="BE247">
        <v>0</v>
      </c>
      <c r="BF247">
        <v>0</v>
      </c>
      <c r="BG247">
        <v>0</v>
      </c>
      <c r="BH247">
        <v>2</v>
      </c>
      <c r="BI247">
        <v>1.7</v>
      </c>
      <c r="BJ247">
        <v>4.2</v>
      </c>
      <c r="BK247">
        <v>4.5</v>
      </c>
      <c r="BL247">
        <v>295.68</v>
      </c>
      <c r="BM247">
        <v>44.35</v>
      </c>
      <c r="BN247">
        <v>340.03</v>
      </c>
      <c r="BO247">
        <v>340.03</v>
      </c>
      <c r="BQ247" t="s">
        <v>447</v>
      </c>
      <c r="BR247" t="s">
        <v>84</v>
      </c>
      <c r="BS247" s="3">
        <v>45883</v>
      </c>
      <c r="BT247" s="4">
        <v>0.36944444444444446</v>
      </c>
      <c r="BU247" t="s">
        <v>448</v>
      </c>
      <c r="BV247" t="s">
        <v>86</v>
      </c>
      <c r="BY247">
        <v>21239.040000000001</v>
      </c>
      <c r="BZ247" t="s">
        <v>102</v>
      </c>
      <c r="CA247" t="s">
        <v>449</v>
      </c>
      <c r="CC247" t="s">
        <v>445</v>
      </c>
      <c r="CD247" s="5" t="s">
        <v>450</v>
      </c>
      <c r="CE247" t="s">
        <v>109</v>
      </c>
      <c r="CF247" s="3">
        <v>45884</v>
      </c>
      <c r="CI247">
        <v>2</v>
      </c>
      <c r="CJ247">
        <v>1</v>
      </c>
      <c r="CK247">
        <v>23</v>
      </c>
      <c r="CL247" t="s">
        <v>90</v>
      </c>
    </row>
    <row r="248" spans="1:90" x14ac:dyDescent="0.3">
      <c r="A248" t="s">
        <v>72</v>
      </c>
      <c r="B248" t="s">
        <v>73</v>
      </c>
      <c r="C248" t="s">
        <v>74</v>
      </c>
      <c r="E248" t="str">
        <f>"GAB2027861"</f>
        <v>GAB2027861</v>
      </c>
      <c r="F248" s="3">
        <v>45882</v>
      </c>
      <c r="G248">
        <v>202605</v>
      </c>
      <c r="H248" t="s">
        <v>75</v>
      </c>
      <c r="I248" t="s">
        <v>76</v>
      </c>
      <c r="J248" t="s">
        <v>77</v>
      </c>
      <c r="K248" t="s">
        <v>78</v>
      </c>
      <c r="L248" t="s">
        <v>177</v>
      </c>
      <c r="M248" t="s">
        <v>178</v>
      </c>
      <c r="N248" t="s">
        <v>563</v>
      </c>
      <c r="O248" t="s">
        <v>100</v>
      </c>
      <c r="P248" t="str">
        <f>"INV-00038453 035441           "</f>
        <v xml:space="preserve">INV-00038453 035441           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v>0</v>
      </c>
      <c r="AL248">
        <v>0</v>
      </c>
      <c r="AM248">
        <v>0</v>
      </c>
      <c r="AN248">
        <v>0</v>
      </c>
      <c r="AO248">
        <v>0</v>
      </c>
      <c r="AP248">
        <v>0</v>
      </c>
      <c r="AQ248">
        <v>105.32</v>
      </c>
      <c r="AR248">
        <v>0</v>
      </c>
      <c r="AS248">
        <v>0</v>
      </c>
      <c r="AT248">
        <v>0</v>
      </c>
      <c r="AU248">
        <v>0</v>
      </c>
      <c r="AV248">
        <v>0</v>
      </c>
      <c r="AW248">
        <v>0</v>
      </c>
      <c r="AX248">
        <v>0</v>
      </c>
      <c r="AY248">
        <v>0</v>
      </c>
      <c r="AZ248">
        <v>0</v>
      </c>
      <c r="BA248">
        <v>0</v>
      </c>
      <c r="BB248">
        <v>0</v>
      </c>
      <c r="BC248">
        <v>0</v>
      </c>
      <c r="BD248">
        <v>0</v>
      </c>
      <c r="BE248">
        <v>0</v>
      </c>
      <c r="BF248">
        <v>0</v>
      </c>
      <c r="BG248">
        <v>0</v>
      </c>
      <c r="BH248">
        <v>2</v>
      </c>
      <c r="BI248">
        <v>1.7</v>
      </c>
      <c r="BJ248">
        <v>4.5999999999999996</v>
      </c>
      <c r="BK248">
        <v>5</v>
      </c>
      <c r="BL248">
        <v>327.04000000000002</v>
      </c>
      <c r="BM248">
        <v>49.06</v>
      </c>
      <c r="BN248">
        <v>376.1</v>
      </c>
      <c r="BO248">
        <v>376.1</v>
      </c>
      <c r="BQ248" t="s">
        <v>953</v>
      </c>
      <c r="BR248" t="s">
        <v>84</v>
      </c>
      <c r="BS248" s="3">
        <v>45883</v>
      </c>
      <c r="BT248" s="4">
        <v>0.43472222222222223</v>
      </c>
      <c r="BU248" t="s">
        <v>954</v>
      </c>
      <c r="BV248" t="s">
        <v>86</v>
      </c>
      <c r="BY248">
        <v>22811.7</v>
      </c>
      <c r="BZ248" t="s">
        <v>102</v>
      </c>
      <c r="CA248" t="s">
        <v>565</v>
      </c>
      <c r="CC248" t="s">
        <v>178</v>
      </c>
      <c r="CD248">
        <v>1034</v>
      </c>
      <c r="CE248" t="s">
        <v>109</v>
      </c>
      <c r="CF248" s="3">
        <v>45884</v>
      </c>
      <c r="CI248">
        <v>1</v>
      </c>
      <c r="CJ248">
        <v>1</v>
      </c>
      <c r="CK248">
        <v>23</v>
      </c>
      <c r="CL248" t="s">
        <v>90</v>
      </c>
    </row>
    <row r="249" spans="1:90" x14ac:dyDescent="0.3">
      <c r="A249" t="s">
        <v>72</v>
      </c>
      <c r="B249" t="s">
        <v>73</v>
      </c>
      <c r="C249" t="s">
        <v>74</v>
      </c>
      <c r="E249" t="str">
        <f>"GAB2027863"</f>
        <v>GAB2027863</v>
      </c>
      <c r="F249" s="3">
        <v>45882</v>
      </c>
      <c r="G249">
        <v>202605</v>
      </c>
      <c r="H249" t="s">
        <v>75</v>
      </c>
      <c r="I249" t="s">
        <v>76</v>
      </c>
      <c r="J249" t="s">
        <v>77</v>
      </c>
      <c r="K249" t="s">
        <v>78</v>
      </c>
      <c r="L249" t="s">
        <v>415</v>
      </c>
      <c r="M249" t="s">
        <v>416</v>
      </c>
      <c r="N249" t="s">
        <v>887</v>
      </c>
      <c r="O249" t="s">
        <v>100</v>
      </c>
      <c r="P249" t="str">
        <f>"INV-00120123 00120129 CT096613"</f>
        <v>INV-00120123 00120129 CT096613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  <c r="AK249">
        <v>0</v>
      </c>
      <c r="AL249">
        <v>0</v>
      </c>
      <c r="AM249">
        <v>0</v>
      </c>
      <c r="AN249">
        <v>0</v>
      </c>
      <c r="AO249">
        <v>0</v>
      </c>
      <c r="AP249">
        <v>0</v>
      </c>
      <c r="AQ249">
        <v>69.22</v>
      </c>
      <c r="AR249">
        <v>0</v>
      </c>
      <c r="AS249">
        <v>0</v>
      </c>
      <c r="AT249">
        <v>0</v>
      </c>
      <c r="AU249">
        <v>0</v>
      </c>
      <c r="AV249">
        <v>0</v>
      </c>
      <c r="AW249">
        <v>16.739999999999998</v>
      </c>
      <c r="AX249">
        <v>0</v>
      </c>
      <c r="AY249">
        <v>0</v>
      </c>
      <c r="AZ249">
        <v>0</v>
      </c>
      <c r="BA249">
        <v>0</v>
      </c>
      <c r="BB249">
        <v>0</v>
      </c>
      <c r="BC249">
        <v>0</v>
      </c>
      <c r="BD249">
        <v>0</v>
      </c>
      <c r="BE249">
        <v>0</v>
      </c>
      <c r="BF249">
        <v>0</v>
      </c>
      <c r="BG249">
        <v>0</v>
      </c>
      <c r="BH249">
        <v>2</v>
      </c>
      <c r="BI249">
        <v>1.8</v>
      </c>
      <c r="BJ249">
        <v>6</v>
      </c>
      <c r="BK249">
        <v>6</v>
      </c>
      <c r="BL249">
        <v>231.68</v>
      </c>
      <c r="BM249">
        <v>34.75</v>
      </c>
      <c r="BN249">
        <v>266.43</v>
      </c>
      <c r="BO249">
        <v>266.43</v>
      </c>
      <c r="BQ249" t="s">
        <v>574</v>
      </c>
      <c r="BR249" t="s">
        <v>84</v>
      </c>
      <c r="BS249" t="s">
        <v>176</v>
      </c>
      <c r="BY249">
        <v>30088.5</v>
      </c>
      <c r="BZ249" t="s">
        <v>320</v>
      </c>
      <c r="CC249" t="s">
        <v>416</v>
      </c>
      <c r="CD249">
        <v>1863</v>
      </c>
      <c r="CE249" t="s">
        <v>143</v>
      </c>
      <c r="CI249">
        <v>0</v>
      </c>
      <c r="CJ249">
        <v>0</v>
      </c>
      <c r="CK249">
        <v>21</v>
      </c>
      <c r="CL249" t="s">
        <v>90</v>
      </c>
    </row>
    <row r="250" spans="1:90" x14ac:dyDescent="0.3">
      <c r="A250" t="s">
        <v>72</v>
      </c>
      <c r="B250" t="s">
        <v>73</v>
      </c>
      <c r="C250" t="s">
        <v>74</v>
      </c>
      <c r="E250" t="str">
        <f>"GAB2027865"</f>
        <v>GAB2027865</v>
      </c>
      <c r="F250" s="3">
        <v>45882</v>
      </c>
      <c r="G250">
        <v>202605</v>
      </c>
      <c r="H250" t="s">
        <v>75</v>
      </c>
      <c r="I250" t="s">
        <v>76</v>
      </c>
      <c r="J250" t="s">
        <v>77</v>
      </c>
      <c r="K250" t="s">
        <v>78</v>
      </c>
      <c r="L250" t="s">
        <v>955</v>
      </c>
      <c r="M250" t="s">
        <v>956</v>
      </c>
      <c r="N250" t="s">
        <v>957</v>
      </c>
      <c r="O250" t="s">
        <v>100</v>
      </c>
      <c r="P250" t="str">
        <f>"INV-00120140 CT096620         "</f>
        <v xml:space="preserve">INV-00120140 CT096620         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  <c r="AK250">
        <v>0</v>
      </c>
      <c r="AL250">
        <v>0</v>
      </c>
      <c r="AM250">
        <v>0</v>
      </c>
      <c r="AN250">
        <v>0</v>
      </c>
      <c r="AO250">
        <v>0</v>
      </c>
      <c r="AP250">
        <v>0</v>
      </c>
      <c r="AQ250">
        <v>51.92</v>
      </c>
      <c r="AR250">
        <v>0</v>
      </c>
      <c r="AS250">
        <v>0</v>
      </c>
      <c r="AT250">
        <v>0</v>
      </c>
      <c r="AU250">
        <v>0</v>
      </c>
      <c r="AV250">
        <v>0</v>
      </c>
      <c r="AW250">
        <v>0</v>
      </c>
      <c r="AX250">
        <v>0</v>
      </c>
      <c r="AY250">
        <v>0</v>
      </c>
      <c r="AZ250">
        <v>0</v>
      </c>
      <c r="BA250">
        <v>0</v>
      </c>
      <c r="BB250">
        <v>0</v>
      </c>
      <c r="BC250">
        <v>0</v>
      </c>
      <c r="BD250">
        <v>0</v>
      </c>
      <c r="BE250">
        <v>0</v>
      </c>
      <c r="BF250">
        <v>0</v>
      </c>
      <c r="BG250">
        <v>0</v>
      </c>
      <c r="BH250">
        <v>2</v>
      </c>
      <c r="BI250">
        <v>1.8</v>
      </c>
      <c r="BJ250">
        <v>4.5</v>
      </c>
      <c r="BK250">
        <v>4.5</v>
      </c>
      <c r="BL250">
        <v>161.22</v>
      </c>
      <c r="BM250">
        <v>24.18</v>
      </c>
      <c r="BN250">
        <v>185.4</v>
      </c>
      <c r="BO250">
        <v>185.4</v>
      </c>
      <c r="BR250" t="s">
        <v>84</v>
      </c>
      <c r="BS250" s="3">
        <v>45883</v>
      </c>
      <c r="BT250" s="4">
        <v>0.41666666666666669</v>
      </c>
      <c r="BU250" t="s">
        <v>958</v>
      </c>
      <c r="BV250" t="s">
        <v>86</v>
      </c>
      <c r="BY250">
        <v>22494.27</v>
      </c>
      <c r="BZ250" t="s">
        <v>102</v>
      </c>
      <c r="CA250" t="s">
        <v>959</v>
      </c>
      <c r="CC250" t="s">
        <v>956</v>
      </c>
      <c r="CD250">
        <v>1449</v>
      </c>
      <c r="CE250" t="s">
        <v>109</v>
      </c>
      <c r="CF250" s="3">
        <v>45883</v>
      </c>
      <c r="CI250">
        <v>1</v>
      </c>
      <c r="CJ250">
        <v>1</v>
      </c>
      <c r="CK250">
        <v>21</v>
      </c>
      <c r="CL250" t="s">
        <v>90</v>
      </c>
    </row>
    <row r="251" spans="1:90" x14ac:dyDescent="0.3">
      <c r="A251" t="s">
        <v>72</v>
      </c>
      <c r="B251" t="s">
        <v>73</v>
      </c>
      <c r="C251" t="s">
        <v>74</v>
      </c>
      <c r="E251" t="str">
        <f>"GAB2027866"</f>
        <v>GAB2027866</v>
      </c>
      <c r="F251" s="3">
        <v>45882</v>
      </c>
      <c r="G251">
        <v>202605</v>
      </c>
      <c r="H251" t="s">
        <v>75</v>
      </c>
      <c r="I251" t="s">
        <v>76</v>
      </c>
      <c r="J251" t="s">
        <v>77</v>
      </c>
      <c r="K251" t="s">
        <v>78</v>
      </c>
      <c r="L251" t="s">
        <v>79</v>
      </c>
      <c r="M251" t="s">
        <v>80</v>
      </c>
      <c r="N251" t="s">
        <v>960</v>
      </c>
      <c r="O251" t="s">
        <v>100</v>
      </c>
      <c r="P251" t="str">
        <f>"INV-00120139 CT096616         "</f>
        <v xml:space="preserve">INV-00120139 CT096616         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  <c r="AK251">
        <v>0</v>
      </c>
      <c r="AL251">
        <v>0</v>
      </c>
      <c r="AM251">
        <v>0</v>
      </c>
      <c r="AN251">
        <v>0</v>
      </c>
      <c r="AO251">
        <v>0</v>
      </c>
      <c r="AP251">
        <v>0</v>
      </c>
      <c r="AQ251">
        <v>51.92</v>
      </c>
      <c r="AR251">
        <v>0</v>
      </c>
      <c r="AS251">
        <v>0</v>
      </c>
      <c r="AT251">
        <v>0</v>
      </c>
      <c r="AU251">
        <v>0</v>
      </c>
      <c r="AV251">
        <v>0</v>
      </c>
      <c r="AW251">
        <v>0</v>
      </c>
      <c r="AX251">
        <v>0</v>
      </c>
      <c r="AY251">
        <v>0</v>
      </c>
      <c r="AZ251">
        <v>0</v>
      </c>
      <c r="BA251">
        <v>0</v>
      </c>
      <c r="BB251">
        <v>0</v>
      </c>
      <c r="BC251">
        <v>0</v>
      </c>
      <c r="BD251">
        <v>0</v>
      </c>
      <c r="BE251">
        <v>0</v>
      </c>
      <c r="BF251">
        <v>0</v>
      </c>
      <c r="BG251">
        <v>0</v>
      </c>
      <c r="BH251">
        <v>2</v>
      </c>
      <c r="BI251">
        <v>1.7</v>
      </c>
      <c r="BJ251">
        <v>4.0999999999999996</v>
      </c>
      <c r="BK251">
        <v>4.5</v>
      </c>
      <c r="BL251">
        <v>161.22</v>
      </c>
      <c r="BM251">
        <v>24.18</v>
      </c>
      <c r="BN251">
        <v>185.4</v>
      </c>
      <c r="BO251">
        <v>185.4</v>
      </c>
      <c r="BR251" t="s">
        <v>84</v>
      </c>
      <c r="BS251" s="3">
        <v>45883</v>
      </c>
      <c r="BT251" s="4">
        <v>0.41041666666666665</v>
      </c>
      <c r="BU251" t="s">
        <v>961</v>
      </c>
      <c r="BV251" t="s">
        <v>86</v>
      </c>
      <c r="BY251">
        <v>20655.04</v>
      </c>
      <c r="BZ251" t="s">
        <v>102</v>
      </c>
      <c r="CA251" t="s">
        <v>146</v>
      </c>
      <c r="CC251" t="s">
        <v>80</v>
      </c>
      <c r="CD251" s="5" t="s">
        <v>237</v>
      </c>
      <c r="CE251" t="s">
        <v>116</v>
      </c>
      <c r="CF251" s="3">
        <v>45883</v>
      </c>
      <c r="CI251">
        <v>1</v>
      </c>
      <c r="CJ251">
        <v>1</v>
      </c>
      <c r="CK251">
        <v>21</v>
      </c>
      <c r="CL251" t="s">
        <v>90</v>
      </c>
    </row>
    <row r="252" spans="1:90" x14ac:dyDescent="0.3">
      <c r="A252" t="s">
        <v>72</v>
      </c>
      <c r="B252" t="s">
        <v>73</v>
      </c>
      <c r="C252" t="s">
        <v>74</v>
      </c>
      <c r="E252" t="str">
        <f>"GAB2027867"</f>
        <v>GAB2027867</v>
      </c>
      <c r="F252" s="3">
        <v>45882</v>
      </c>
      <c r="G252">
        <v>202605</v>
      </c>
      <c r="H252" t="s">
        <v>75</v>
      </c>
      <c r="I252" t="s">
        <v>76</v>
      </c>
      <c r="J252" t="s">
        <v>77</v>
      </c>
      <c r="K252" t="s">
        <v>78</v>
      </c>
      <c r="L252" t="s">
        <v>190</v>
      </c>
      <c r="M252" t="s">
        <v>191</v>
      </c>
      <c r="N252" t="s">
        <v>398</v>
      </c>
      <c r="O252" t="s">
        <v>100</v>
      </c>
      <c r="P252" t="str">
        <f>"INV-00120138 CT096456         "</f>
        <v xml:space="preserve">INV-00120138 CT096456         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  <c r="AK252">
        <v>0</v>
      </c>
      <c r="AL252">
        <v>0</v>
      </c>
      <c r="AM252">
        <v>0</v>
      </c>
      <c r="AN252">
        <v>0</v>
      </c>
      <c r="AO252">
        <v>0</v>
      </c>
      <c r="AP252">
        <v>0</v>
      </c>
      <c r="AQ252">
        <v>51.92</v>
      </c>
      <c r="AR252">
        <v>0</v>
      </c>
      <c r="AS252">
        <v>0</v>
      </c>
      <c r="AT252">
        <v>0</v>
      </c>
      <c r="AU252">
        <v>0</v>
      </c>
      <c r="AV252">
        <v>0</v>
      </c>
      <c r="AW252">
        <v>0</v>
      </c>
      <c r="AX252">
        <v>0</v>
      </c>
      <c r="AY252">
        <v>0</v>
      </c>
      <c r="AZ252">
        <v>0</v>
      </c>
      <c r="BA252">
        <v>0</v>
      </c>
      <c r="BB252">
        <v>0</v>
      </c>
      <c r="BC252">
        <v>0</v>
      </c>
      <c r="BD252">
        <v>0</v>
      </c>
      <c r="BE252">
        <v>0</v>
      </c>
      <c r="BF252">
        <v>0</v>
      </c>
      <c r="BG252">
        <v>0</v>
      </c>
      <c r="BH252">
        <v>2</v>
      </c>
      <c r="BI252">
        <v>1.7</v>
      </c>
      <c r="BJ252">
        <v>4.3</v>
      </c>
      <c r="BK252">
        <v>4.5</v>
      </c>
      <c r="BL252">
        <v>161.22</v>
      </c>
      <c r="BM252">
        <v>24.18</v>
      </c>
      <c r="BN252">
        <v>185.4</v>
      </c>
      <c r="BO252">
        <v>185.4</v>
      </c>
      <c r="BQ252" t="s">
        <v>399</v>
      </c>
      <c r="BR252" t="s">
        <v>84</v>
      </c>
      <c r="BS252" s="3">
        <v>45883</v>
      </c>
      <c r="BT252" s="4">
        <v>0.35972222222222222</v>
      </c>
      <c r="BU252" t="s">
        <v>934</v>
      </c>
      <c r="BV252" t="s">
        <v>86</v>
      </c>
      <c r="BY252">
        <v>21274.09</v>
      </c>
      <c r="BZ252" t="s">
        <v>102</v>
      </c>
      <c r="CA252" t="s">
        <v>935</v>
      </c>
      <c r="CC252" t="s">
        <v>191</v>
      </c>
      <c r="CD252" s="5" t="s">
        <v>196</v>
      </c>
      <c r="CE252" t="s">
        <v>109</v>
      </c>
      <c r="CF252" s="3">
        <v>45883</v>
      </c>
      <c r="CI252">
        <v>1</v>
      </c>
      <c r="CJ252">
        <v>1</v>
      </c>
      <c r="CK252">
        <v>21</v>
      </c>
      <c r="CL252" t="s">
        <v>90</v>
      </c>
    </row>
    <row r="253" spans="1:90" x14ac:dyDescent="0.3">
      <c r="A253" t="s">
        <v>72</v>
      </c>
      <c r="B253" t="s">
        <v>73</v>
      </c>
      <c r="C253" t="s">
        <v>74</v>
      </c>
      <c r="E253" t="str">
        <f>"GAB2027868"</f>
        <v>GAB2027868</v>
      </c>
      <c r="F253" s="3">
        <v>45882</v>
      </c>
      <c r="G253">
        <v>202605</v>
      </c>
      <c r="H253" t="s">
        <v>75</v>
      </c>
      <c r="I253" t="s">
        <v>76</v>
      </c>
      <c r="J253" t="s">
        <v>77</v>
      </c>
      <c r="K253" t="s">
        <v>78</v>
      </c>
      <c r="L253" t="s">
        <v>415</v>
      </c>
      <c r="M253" t="s">
        <v>416</v>
      </c>
      <c r="N253" t="s">
        <v>962</v>
      </c>
      <c r="O253" t="s">
        <v>100</v>
      </c>
      <c r="P253" t="str">
        <f>"INV-00120137 CT096617         "</f>
        <v xml:space="preserve">INV-00120137 CT096617         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  <c r="AK253">
        <v>0</v>
      </c>
      <c r="AL253">
        <v>0</v>
      </c>
      <c r="AM253">
        <v>0</v>
      </c>
      <c r="AN253">
        <v>0</v>
      </c>
      <c r="AO253">
        <v>0</v>
      </c>
      <c r="AP253">
        <v>0</v>
      </c>
      <c r="AQ253">
        <v>57.68</v>
      </c>
      <c r="AR253">
        <v>0</v>
      </c>
      <c r="AS253">
        <v>0</v>
      </c>
      <c r="AT253">
        <v>0</v>
      </c>
      <c r="AU253">
        <v>0</v>
      </c>
      <c r="AV253">
        <v>0</v>
      </c>
      <c r="AW253">
        <v>0</v>
      </c>
      <c r="AX253">
        <v>0</v>
      </c>
      <c r="AY253">
        <v>0</v>
      </c>
      <c r="AZ253">
        <v>0</v>
      </c>
      <c r="BA253">
        <v>0</v>
      </c>
      <c r="BB253">
        <v>0</v>
      </c>
      <c r="BC253">
        <v>0</v>
      </c>
      <c r="BD253">
        <v>0</v>
      </c>
      <c r="BE253">
        <v>0</v>
      </c>
      <c r="BF253">
        <v>0</v>
      </c>
      <c r="BG253">
        <v>0</v>
      </c>
      <c r="BH253">
        <v>2</v>
      </c>
      <c r="BI253">
        <v>1.7</v>
      </c>
      <c r="BJ253">
        <v>4.5999999999999996</v>
      </c>
      <c r="BK253">
        <v>5</v>
      </c>
      <c r="BL253">
        <v>179.12</v>
      </c>
      <c r="BM253">
        <v>26.87</v>
      </c>
      <c r="BN253">
        <v>205.99</v>
      </c>
      <c r="BO253">
        <v>205.99</v>
      </c>
      <c r="BQ253" t="s">
        <v>963</v>
      </c>
      <c r="BR253" t="s">
        <v>84</v>
      </c>
      <c r="BS253" s="3">
        <v>45883</v>
      </c>
      <c r="BT253" s="4">
        <v>0.38611111111111113</v>
      </c>
      <c r="BU253" t="s">
        <v>964</v>
      </c>
      <c r="BV253" t="s">
        <v>86</v>
      </c>
      <c r="BY253">
        <v>22886.400000000001</v>
      </c>
      <c r="BZ253" t="s">
        <v>102</v>
      </c>
      <c r="CA253" t="s">
        <v>965</v>
      </c>
      <c r="CC253" t="s">
        <v>416</v>
      </c>
      <c r="CD253">
        <v>2196</v>
      </c>
      <c r="CE253" t="s">
        <v>109</v>
      </c>
      <c r="CF253" s="3">
        <v>45883</v>
      </c>
      <c r="CI253">
        <v>1</v>
      </c>
      <c r="CJ253">
        <v>1</v>
      </c>
      <c r="CK253">
        <v>21</v>
      </c>
      <c r="CL253" t="s">
        <v>90</v>
      </c>
    </row>
    <row r="254" spans="1:90" x14ac:dyDescent="0.3">
      <c r="A254" t="s">
        <v>72</v>
      </c>
      <c r="B254" t="s">
        <v>73</v>
      </c>
      <c r="C254" t="s">
        <v>74</v>
      </c>
      <c r="E254" t="str">
        <f>"GAB2027869"</f>
        <v>GAB2027869</v>
      </c>
      <c r="F254" s="3">
        <v>45882</v>
      </c>
      <c r="G254">
        <v>202605</v>
      </c>
      <c r="H254" t="s">
        <v>75</v>
      </c>
      <c r="I254" t="s">
        <v>76</v>
      </c>
      <c r="J254" t="s">
        <v>77</v>
      </c>
      <c r="K254" t="s">
        <v>78</v>
      </c>
      <c r="L254" t="s">
        <v>308</v>
      </c>
      <c r="M254" t="s">
        <v>309</v>
      </c>
      <c r="N254" t="s">
        <v>310</v>
      </c>
      <c r="O254" t="s">
        <v>100</v>
      </c>
      <c r="P254" t="str">
        <f>"INV-00120136 CT096615         "</f>
        <v xml:space="preserve">INV-00120136 CT096615         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  <c r="AK254">
        <v>0</v>
      </c>
      <c r="AL254">
        <v>0</v>
      </c>
      <c r="AM254">
        <v>0</v>
      </c>
      <c r="AN254">
        <v>0</v>
      </c>
      <c r="AO254">
        <v>0</v>
      </c>
      <c r="AP254">
        <v>0</v>
      </c>
      <c r="AQ254">
        <v>135.61000000000001</v>
      </c>
      <c r="AR254">
        <v>0</v>
      </c>
      <c r="AS254">
        <v>0</v>
      </c>
      <c r="AT254">
        <v>0</v>
      </c>
      <c r="AU254">
        <v>0</v>
      </c>
      <c r="AV254">
        <v>0</v>
      </c>
      <c r="AW254">
        <v>0</v>
      </c>
      <c r="AX254">
        <v>0</v>
      </c>
      <c r="AY254">
        <v>0</v>
      </c>
      <c r="AZ254">
        <v>0</v>
      </c>
      <c r="BA254">
        <v>0</v>
      </c>
      <c r="BB254">
        <v>0</v>
      </c>
      <c r="BC254">
        <v>0</v>
      </c>
      <c r="BD254">
        <v>0</v>
      </c>
      <c r="BE254">
        <v>0</v>
      </c>
      <c r="BF254">
        <v>0</v>
      </c>
      <c r="BG254">
        <v>0</v>
      </c>
      <c r="BH254">
        <v>2</v>
      </c>
      <c r="BI254">
        <v>1.7</v>
      </c>
      <c r="BJ254">
        <v>6.3</v>
      </c>
      <c r="BK254">
        <v>6.5</v>
      </c>
      <c r="BL254">
        <v>421.11</v>
      </c>
      <c r="BM254">
        <v>63.17</v>
      </c>
      <c r="BN254">
        <v>484.28</v>
      </c>
      <c r="BO254">
        <v>484.28</v>
      </c>
      <c r="BQ254" t="s">
        <v>311</v>
      </c>
      <c r="BR254" t="s">
        <v>84</v>
      </c>
      <c r="BS254" s="3">
        <v>45883</v>
      </c>
      <c r="BT254" s="4">
        <v>0.40069444444444446</v>
      </c>
      <c r="BU254" t="s">
        <v>966</v>
      </c>
      <c r="BV254" t="s">
        <v>86</v>
      </c>
      <c r="BY254">
        <v>31558.5</v>
      </c>
      <c r="BZ254" t="s">
        <v>102</v>
      </c>
      <c r="CA254" t="s">
        <v>313</v>
      </c>
      <c r="CC254" t="s">
        <v>309</v>
      </c>
      <c r="CD254" s="5" t="s">
        <v>314</v>
      </c>
      <c r="CE254" t="s">
        <v>143</v>
      </c>
      <c r="CF254" s="3">
        <v>45884</v>
      </c>
      <c r="CI254">
        <v>2</v>
      </c>
      <c r="CJ254">
        <v>1</v>
      </c>
      <c r="CK254">
        <v>23</v>
      </c>
      <c r="CL254" t="s">
        <v>90</v>
      </c>
    </row>
    <row r="255" spans="1:90" x14ac:dyDescent="0.3">
      <c r="A255" t="s">
        <v>72</v>
      </c>
      <c r="B255" t="s">
        <v>73</v>
      </c>
      <c r="C255" t="s">
        <v>74</v>
      </c>
      <c r="E255" t="str">
        <f>"GAB2027871"</f>
        <v>GAB2027871</v>
      </c>
      <c r="F255" s="3">
        <v>45882</v>
      </c>
      <c r="G255">
        <v>202605</v>
      </c>
      <c r="H255" t="s">
        <v>75</v>
      </c>
      <c r="I255" t="s">
        <v>76</v>
      </c>
      <c r="J255" t="s">
        <v>77</v>
      </c>
      <c r="K255" t="s">
        <v>78</v>
      </c>
      <c r="L255" t="s">
        <v>327</v>
      </c>
      <c r="M255" t="s">
        <v>328</v>
      </c>
      <c r="N255" t="s">
        <v>967</v>
      </c>
      <c r="O255" t="s">
        <v>100</v>
      </c>
      <c r="P255" t="str">
        <f>"INV-00120135 CT096609         "</f>
        <v xml:space="preserve">INV-00120135 CT096609         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  <c r="AK255">
        <v>0</v>
      </c>
      <c r="AL255">
        <v>0</v>
      </c>
      <c r="AM255">
        <v>0</v>
      </c>
      <c r="AN255">
        <v>0</v>
      </c>
      <c r="AO255">
        <v>0</v>
      </c>
      <c r="AP255">
        <v>0</v>
      </c>
      <c r="AQ255">
        <v>115.42</v>
      </c>
      <c r="AR255">
        <v>0</v>
      </c>
      <c r="AS255">
        <v>0</v>
      </c>
      <c r="AT255">
        <v>0</v>
      </c>
      <c r="AU255">
        <v>0</v>
      </c>
      <c r="AV255">
        <v>0</v>
      </c>
      <c r="AW255">
        <v>0</v>
      </c>
      <c r="AX255">
        <v>0</v>
      </c>
      <c r="AY255">
        <v>0</v>
      </c>
      <c r="AZ255">
        <v>0</v>
      </c>
      <c r="BA255">
        <v>0</v>
      </c>
      <c r="BB255">
        <v>0</v>
      </c>
      <c r="BC255">
        <v>0</v>
      </c>
      <c r="BD255">
        <v>0</v>
      </c>
      <c r="BE255">
        <v>0</v>
      </c>
      <c r="BF255">
        <v>0</v>
      </c>
      <c r="BG255">
        <v>0</v>
      </c>
      <c r="BH255">
        <v>2</v>
      </c>
      <c r="BI255">
        <v>3.7</v>
      </c>
      <c r="BJ255">
        <v>5.0999999999999996</v>
      </c>
      <c r="BK255">
        <v>5.5</v>
      </c>
      <c r="BL255">
        <v>358.4</v>
      </c>
      <c r="BM255">
        <v>53.76</v>
      </c>
      <c r="BN255">
        <v>412.16</v>
      </c>
      <c r="BO255">
        <v>412.16</v>
      </c>
      <c r="BQ255" t="s">
        <v>968</v>
      </c>
      <c r="BR255" t="s">
        <v>84</v>
      </c>
      <c r="BS255" s="3">
        <v>45884</v>
      </c>
      <c r="BT255" s="4">
        <v>0.42152777777777778</v>
      </c>
      <c r="BU255" t="s">
        <v>969</v>
      </c>
      <c r="BV255" t="s">
        <v>86</v>
      </c>
      <c r="BY255">
        <v>25579.52</v>
      </c>
      <c r="BZ255" t="s">
        <v>102</v>
      </c>
      <c r="CA255" t="s">
        <v>332</v>
      </c>
      <c r="CC255" t="s">
        <v>328</v>
      </c>
      <c r="CD255">
        <v>9700</v>
      </c>
      <c r="CE255" t="s">
        <v>970</v>
      </c>
      <c r="CF255" s="3">
        <v>45887</v>
      </c>
      <c r="CI255">
        <v>2</v>
      </c>
      <c r="CJ255">
        <v>2</v>
      </c>
      <c r="CK255">
        <v>23</v>
      </c>
      <c r="CL255" t="s">
        <v>90</v>
      </c>
    </row>
    <row r="256" spans="1:90" x14ac:dyDescent="0.3">
      <c r="A256" t="s">
        <v>72</v>
      </c>
      <c r="B256" t="s">
        <v>73</v>
      </c>
      <c r="C256" t="s">
        <v>74</v>
      </c>
      <c r="E256" t="str">
        <f>"GAB2027873"</f>
        <v>GAB2027873</v>
      </c>
      <c r="F256" s="3">
        <v>45882</v>
      </c>
      <c r="G256">
        <v>202605</v>
      </c>
      <c r="H256" t="s">
        <v>75</v>
      </c>
      <c r="I256" t="s">
        <v>76</v>
      </c>
      <c r="J256" t="s">
        <v>77</v>
      </c>
      <c r="K256" t="s">
        <v>78</v>
      </c>
      <c r="L256" t="s">
        <v>693</v>
      </c>
      <c r="M256" t="s">
        <v>694</v>
      </c>
      <c r="N256" t="s">
        <v>695</v>
      </c>
      <c r="O256" t="s">
        <v>100</v>
      </c>
      <c r="P256" t="str">
        <f>"INV-00120143 CT096621         "</f>
        <v xml:space="preserve">INV-00120143 CT096621         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0</v>
      </c>
      <c r="AK256">
        <v>0</v>
      </c>
      <c r="AL256">
        <v>0</v>
      </c>
      <c r="AM256">
        <v>0</v>
      </c>
      <c r="AN256">
        <v>0</v>
      </c>
      <c r="AO256">
        <v>0</v>
      </c>
      <c r="AP256">
        <v>0</v>
      </c>
      <c r="AQ256">
        <v>75.02</v>
      </c>
      <c r="AR256">
        <v>0</v>
      </c>
      <c r="AS256">
        <v>0</v>
      </c>
      <c r="AT256">
        <v>0</v>
      </c>
      <c r="AU256">
        <v>0</v>
      </c>
      <c r="AV256">
        <v>0</v>
      </c>
      <c r="AW256">
        <v>0</v>
      </c>
      <c r="AX256">
        <v>0</v>
      </c>
      <c r="AY256">
        <v>0</v>
      </c>
      <c r="AZ256">
        <v>0</v>
      </c>
      <c r="BA256">
        <v>0</v>
      </c>
      <c r="BB256">
        <v>0</v>
      </c>
      <c r="BC256">
        <v>0</v>
      </c>
      <c r="BD256">
        <v>0</v>
      </c>
      <c r="BE256">
        <v>0</v>
      </c>
      <c r="BF256">
        <v>0</v>
      </c>
      <c r="BG256">
        <v>0</v>
      </c>
      <c r="BH256">
        <v>2</v>
      </c>
      <c r="BI256">
        <v>2.1</v>
      </c>
      <c r="BJ256">
        <v>3.5</v>
      </c>
      <c r="BK256">
        <v>3.5</v>
      </c>
      <c r="BL256">
        <v>232.96</v>
      </c>
      <c r="BM256">
        <v>34.94</v>
      </c>
      <c r="BN256">
        <v>267.89999999999998</v>
      </c>
      <c r="BO256">
        <v>267.89999999999998</v>
      </c>
      <c r="BQ256" t="s">
        <v>971</v>
      </c>
      <c r="BR256" t="s">
        <v>84</v>
      </c>
      <c r="BS256" s="3">
        <v>45884</v>
      </c>
      <c r="BT256" s="4">
        <v>0.50138888888888888</v>
      </c>
      <c r="BU256" t="s">
        <v>972</v>
      </c>
      <c r="BV256" t="s">
        <v>90</v>
      </c>
      <c r="BW256" t="s">
        <v>589</v>
      </c>
      <c r="BX256" t="s">
        <v>973</v>
      </c>
      <c r="BY256">
        <v>17402.75</v>
      </c>
      <c r="BZ256" t="s">
        <v>102</v>
      </c>
      <c r="CA256" t="s">
        <v>974</v>
      </c>
      <c r="CC256" t="s">
        <v>694</v>
      </c>
      <c r="CD256">
        <v>2515</v>
      </c>
      <c r="CE256" t="s">
        <v>164</v>
      </c>
      <c r="CF256" s="3">
        <v>45884</v>
      </c>
      <c r="CI256">
        <v>1</v>
      </c>
      <c r="CJ256">
        <v>2</v>
      </c>
      <c r="CK256">
        <v>23</v>
      </c>
      <c r="CL256" t="s">
        <v>90</v>
      </c>
    </row>
    <row r="257" spans="1:90" x14ac:dyDescent="0.3">
      <c r="A257" t="s">
        <v>72</v>
      </c>
      <c r="B257" t="s">
        <v>73</v>
      </c>
      <c r="C257" t="s">
        <v>74</v>
      </c>
      <c r="E257" t="str">
        <f>"GAB2027874"</f>
        <v>GAB2027874</v>
      </c>
      <c r="F257" s="3">
        <v>45882</v>
      </c>
      <c r="G257">
        <v>202605</v>
      </c>
      <c r="H257" t="s">
        <v>75</v>
      </c>
      <c r="I257" t="s">
        <v>76</v>
      </c>
      <c r="J257" t="s">
        <v>77</v>
      </c>
      <c r="K257" t="s">
        <v>78</v>
      </c>
      <c r="L257" t="s">
        <v>159</v>
      </c>
      <c r="M257" t="s">
        <v>159</v>
      </c>
      <c r="N257" t="s">
        <v>269</v>
      </c>
      <c r="O257" t="s">
        <v>100</v>
      </c>
      <c r="P257" t="str">
        <f>"INV-00120144 CT096562         "</f>
        <v xml:space="preserve">INV-00120144 CT096562         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0</v>
      </c>
      <c r="AK257">
        <v>0</v>
      </c>
      <c r="AL257">
        <v>0</v>
      </c>
      <c r="AM257">
        <v>0</v>
      </c>
      <c r="AN257">
        <v>0</v>
      </c>
      <c r="AO257">
        <v>0</v>
      </c>
      <c r="AP257">
        <v>0</v>
      </c>
      <c r="AQ257">
        <v>71.989999999999995</v>
      </c>
      <c r="AR257">
        <v>0</v>
      </c>
      <c r="AS257">
        <v>0</v>
      </c>
      <c r="AT257">
        <v>0</v>
      </c>
      <c r="AU257">
        <v>0</v>
      </c>
      <c r="AV257">
        <v>0</v>
      </c>
      <c r="AW257">
        <v>0</v>
      </c>
      <c r="AX257">
        <v>0</v>
      </c>
      <c r="AY257">
        <v>0</v>
      </c>
      <c r="AZ257">
        <v>0</v>
      </c>
      <c r="BA257">
        <v>0</v>
      </c>
      <c r="BB257">
        <v>0</v>
      </c>
      <c r="BC257">
        <v>0</v>
      </c>
      <c r="BD257">
        <v>0</v>
      </c>
      <c r="BE257">
        <v>0</v>
      </c>
      <c r="BF257">
        <v>0</v>
      </c>
      <c r="BG257">
        <v>0</v>
      </c>
      <c r="BH257">
        <v>2</v>
      </c>
      <c r="BI257">
        <v>1.7</v>
      </c>
      <c r="BJ257">
        <v>4.3</v>
      </c>
      <c r="BK257">
        <v>4.5</v>
      </c>
      <c r="BL257">
        <v>223.54</v>
      </c>
      <c r="BM257">
        <v>33.53</v>
      </c>
      <c r="BN257">
        <v>257.07</v>
      </c>
      <c r="BO257">
        <v>257.07</v>
      </c>
      <c r="BQ257" t="s">
        <v>270</v>
      </c>
      <c r="BR257" t="s">
        <v>84</v>
      </c>
      <c r="BS257" s="3">
        <v>45883</v>
      </c>
      <c r="BT257" s="4">
        <v>0.49375000000000002</v>
      </c>
      <c r="BU257" t="s">
        <v>975</v>
      </c>
      <c r="BV257" t="s">
        <v>86</v>
      </c>
      <c r="BY257">
        <v>21683.200000000001</v>
      </c>
      <c r="BZ257" t="s">
        <v>102</v>
      </c>
      <c r="CA257" t="s">
        <v>272</v>
      </c>
      <c r="CC257" t="s">
        <v>159</v>
      </c>
      <c r="CD257">
        <v>7646</v>
      </c>
      <c r="CE257" t="s">
        <v>109</v>
      </c>
      <c r="CF257" s="3">
        <v>45884</v>
      </c>
      <c r="CI257">
        <v>1</v>
      </c>
      <c r="CJ257">
        <v>1</v>
      </c>
      <c r="CK257">
        <v>24</v>
      </c>
      <c r="CL257" t="s">
        <v>90</v>
      </c>
    </row>
    <row r="258" spans="1:90" x14ac:dyDescent="0.3">
      <c r="A258" t="s">
        <v>72</v>
      </c>
      <c r="B258" t="s">
        <v>73</v>
      </c>
      <c r="C258" t="s">
        <v>74</v>
      </c>
      <c r="E258" t="str">
        <f>"GAB2027875"</f>
        <v>GAB2027875</v>
      </c>
      <c r="F258" s="3">
        <v>45882</v>
      </c>
      <c r="G258">
        <v>202605</v>
      </c>
      <c r="H258" t="s">
        <v>75</v>
      </c>
      <c r="I258" t="s">
        <v>76</v>
      </c>
      <c r="J258" t="s">
        <v>77</v>
      </c>
      <c r="K258" t="s">
        <v>78</v>
      </c>
      <c r="L258" t="s">
        <v>91</v>
      </c>
      <c r="M258" t="s">
        <v>92</v>
      </c>
      <c r="N258" t="s">
        <v>976</v>
      </c>
      <c r="O258" t="s">
        <v>100</v>
      </c>
      <c r="P258" t="str">
        <f>"INV-00120142 CT096624         "</f>
        <v xml:space="preserve">INV-00120142 CT096624         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0</v>
      </c>
      <c r="AK258">
        <v>0</v>
      </c>
      <c r="AL258">
        <v>0</v>
      </c>
      <c r="AM258">
        <v>0</v>
      </c>
      <c r="AN258">
        <v>0</v>
      </c>
      <c r="AO258">
        <v>0</v>
      </c>
      <c r="AP258">
        <v>0</v>
      </c>
      <c r="AQ258">
        <v>40.380000000000003</v>
      </c>
      <c r="AR258">
        <v>0</v>
      </c>
      <c r="AS258">
        <v>0</v>
      </c>
      <c r="AT258">
        <v>0</v>
      </c>
      <c r="AU258">
        <v>0</v>
      </c>
      <c r="AV258">
        <v>0</v>
      </c>
      <c r="AW258">
        <v>0</v>
      </c>
      <c r="AX258">
        <v>0</v>
      </c>
      <c r="AY258">
        <v>0</v>
      </c>
      <c r="AZ258">
        <v>0</v>
      </c>
      <c r="BA258">
        <v>0</v>
      </c>
      <c r="BB258">
        <v>0</v>
      </c>
      <c r="BC258">
        <v>0</v>
      </c>
      <c r="BD258">
        <v>0</v>
      </c>
      <c r="BE258">
        <v>0</v>
      </c>
      <c r="BF258">
        <v>0</v>
      </c>
      <c r="BG258">
        <v>0</v>
      </c>
      <c r="BH258">
        <v>2</v>
      </c>
      <c r="BI258">
        <v>2.1</v>
      </c>
      <c r="BJ258">
        <v>3.3</v>
      </c>
      <c r="BK258">
        <v>3.5</v>
      </c>
      <c r="BL258">
        <v>125.4</v>
      </c>
      <c r="BM258">
        <v>18.809999999999999</v>
      </c>
      <c r="BN258">
        <v>144.21</v>
      </c>
      <c r="BO258">
        <v>144.21</v>
      </c>
      <c r="BR258" t="s">
        <v>84</v>
      </c>
      <c r="BS258" s="3">
        <v>45887</v>
      </c>
      <c r="BT258" s="4">
        <v>0.65138888888888891</v>
      </c>
      <c r="BU258" t="s">
        <v>977</v>
      </c>
      <c r="BV258" t="s">
        <v>90</v>
      </c>
      <c r="BW258" t="s">
        <v>294</v>
      </c>
      <c r="BX258" t="s">
        <v>319</v>
      </c>
      <c r="BY258">
        <v>16695.86</v>
      </c>
      <c r="BZ258" t="s">
        <v>102</v>
      </c>
      <c r="CC258" t="s">
        <v>92</v>
      </c>
      <c r="CD258">
        <v>4030</v>
      </c>
      <c r="CE258" t="s">
        <v>703</v>
      </c>
      <c r="CF258" s="3">
        <v>45888</v>
      </c>
      <c r="CI258">
        <v>2</v>
      </c>
      <c r="CJ258">
        <v>3</v>
      </c>
      <c r="CK258">
        <v>21</v>
      </c>
      <c r="CL258" t="s">
        <v>90</v>
      </c>
    </row>
    <row r="259" spans="1:90" x14ac:dyDescent="0.3">
      <c r="A259" t="s">
        <v>72</v>
      </c>
      <c r="B259" t="s">
        <v>73</v>
      </c>
      <c r="C259" t="s">
        <v>74</v>
      </c>
      <c r="E259" t="str">
        <f>"GAB2027876"</f>
        <v>GAB2027876</v>
      </c>
      <c r="F259" s="3">
        <v>45882</v>
      </c>
      <c r="G259">
        <v>202605</v>
      </c>
      <c r="H259" t="s">
        <v>75</v>
      </c>
      <c r="I259" t="s">
        <v>76</v>
      </c>
      <c r="J259" t="s">
        <v>77</v>
      </c>
      <c r="K259" t="s">
        <v>78</v>
      </c>
      <c r="L259" t="s">
        <v>518</v>
      </c>
      <c r="M259" t="s">
        <v>519</v>
      </c>
      <c r="N259" t="s">
        <v>590</v>
      </c>
      <c r="O259" t="s">
        <v>100</v>
      </c>
      <c r="P259" t="str">
        <f>"INV-00120147 CT096626         "</f>
        <v xml:space="preserve">INV-00120147 CT096626         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v>0</v>
      </c>
      <c r="AK259">
        <v>0</v>
      </c>
      <c r="AL259">
        <v>0</v>
      </c>
      <c r="AM259">
        <v>0</v>
      </c>
      <c r="AN259">
        <v>0</v>
      </c>
      <c r="AO259">
        <v>0</v>
      </c>
      <c r="AP259">
        <v>0</v>
      </c>
      <c r="AQ259">
        <v>63.45</v>
      </c>
      <c r="AR259">
        <v>0</v>
      </c>
      <c r="AS259">
        <v>0</v>
      </c>
      <c r="AT259">
        <v>0</v>
      </c>
      <c r="AU259">
        <v>0</v>
      </c>
      <c r="AV259">
        <v>0</v>
      </c>
      <c r="AW259">
        <v>0</v>
      </c>
      <c r="AX259">
        <v>0</v>
      </c>
      <c r="AY259">
        <v>0</v>
      </c>
      <c r="AZ259">
        <v>0</v>
      </c>
      <c r="BA259">
        <v>0</v>
      </c>
      <c r="BB259">
        <v>0</v>
      </c>
      <c r="BC259">
        <v>0</v>
      </c>
      <c r="BD259">
        <v>0</v>
      </c>
      <c r="BE259">
        <v>0</v>
      </c>
      <c r="BF259">
        <v>0</v>
      </c>
      <c r="BG259">
        <v>0</v>
      </c>
      <c r="BH259">
        <v>2</v>
      </c>
      <c r="BI259">
        <v>2.4</v>
      </c>
      <c r="BJ259">
        <v>5.2</v>
      </c>
      <c r="BK259">
        <v>5.5</v>
      </c>
      <c r="BL259">
        <v>197.03</v>
      </c>
      <c r="BM259">
        <v>29.55</v>
      </c>
      <c r="BN259">
        <v>226.58</v>
      </c>
      <c r="BO259">
        <v>226.58</v>
      </c>
      <c r="BR259" t="s">
        <v>84</v>
      </c>
      <c r="BS259" s="3">
        <v>45884</v>
      </c>
      <c r="BT259" s="4">
        <v>0.65</v>
      </c>
      <c r="BU259" t="s">
        <v>591</v>
      </c>
      <c r="BV259" t="s">
        <v>90</v>
      </c>
      <c r="BY259">
        <v>25854</v>
      </c>
      <c r="BZ259" t="s">
        <v>102</v>
      </c>
      <c r="CA259" t="s">
        <v>522</v>
      </c>
      <c r="CC259" t="s">
        <v>519</v>
      </c>
      <c r="CD259">
        <v>5200</v>
      </c>
      <c r="CE259" t="s">
        <v>753</v>
      </c>
      <c r="CF259" s="3">
        <v>45884</v>
      </c>
      <c r="CI259">
        <v>1</v>
      </c>
      <c r="CJ259">
        <v>2</v>
      </c>
      <c r="CK259">
        <v>21</v>
      </c>
      <c r="CL259" t="s">
        <v>90</v>
      </c>
    </row>
    <row r="260" spans="1:90" x14ac:dyDescent="0.3">
      <c r="A260" t="s">
        <v>72</v>
      </c>
      <c r="B260" t="s">
        <v>73</v>
      </c>
      <c r="C260" t="s">
        <v>74</v>
      </c>
      <c r="E260" t="str">
        <f>"GAB2027877"</f>
        <v>GAB2027877</v>
      </c>
      <c r="F260" s="3">
        <v>45882</v>
      </c>
      <c r="G260">
        <v>202605</v>
      </c>
      <c r="H260" t="s">
        <v>75</v>
      </c>
      <c r="I260" t="s">
        <v>76</v>
      </c>
      <c r="J260" t="s">
        <v>77</v>
      </c>
      <c r="K260" t="s">
        <v>78</v>
      </c>
      <c r="L260" t="s">
        <v>75</v>
      </c>
      <c r="M260" t="s">
        <v>76</v>
      </c>
      <c r="N260" t="s">
        <v>224</v>
      </c>
      <c r="O260" t="s">
        <v>100</v>
      </c>
      <c r="P260" t="str">
        <f>"INV-00120148 CT096619         "</f>
        <v xml:space="preserve">INV-00120148 CT096619         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0</v>
      </c>
      <c r="AK260">
        <v>0</v>
      </c>
      <c r="AL260">
        <v>0</v>
      </c>
      <c r="AM260">
        <v>0</v>
      </c>
      <c r="AN260">
        <v>0</v>
      </c>
      <c r="AO260">
        <v>0</v>
      </c>
      <c r="AP260">
        <v>0</v>
      </c>
      <c r="AQ260">
        <v>18.03</v>
      </c>
      <c r="AR260">
        <v>0</v>
      </c>
      <c r="AS260">
        <v>0</v>
      </c>
      <c r="AT260">
        <v>0</v>
      </c>
      <c r="AU260">
        <v>0</v>
      </c>
      <c r="AV260">
        <v>0</v>
      </c>
      <c r="AW260">
        <v>0</v>
      </c>
      <c r="AX260">
        <v>0</v>
      </c>
      <c r="AY260">
        <v>0</v>
      </c>
      <c r="AZ260">
        <v>0</v>
      </c>
      <c r="BA260">
        <v>0</v>
      </c>
      <c r="BB260">
        <v>0</v>
      </c>
      <c r="BC260">
        <v>0</v>
      </c>
      <c r="BD260">
        <v>0</v>
      </c>
      <c r="BE260">
        <v>0</v>
      </c>
      <c r="BF260">
        <v>0</v>
      </c>
      <c r="BG260">
        <v>0</v>
      </c>
      <c r="BH260">
        <v>2</v>
      </c>
      <c r="BI260">
        <v>1.8</v>
      </c>
      <c r="BJ260">
        <v>6.3</v>
      </c>
      <c r="BK260">
        <v>7</v>
      </c>
      <c r="BL260">
        <v>55.99</v>
      </c>
      <c r="BM260">
        <v>8.4</v>
      </c>
      <c r="BN260">
        <v>64.39</v>
      </c>
      <c r="BO260">
        <v>64.39</v>
      </c>
      <c r="BQ260" t="s">
        <v>225</v>
      </c>
      <c r="BR260" t="s">
        <v>84</v>
      </c>
      <c r="BS260" s="3">
        <v>45883</v>
      </c>
      <c r="BT260" s="4">
        <v>0.36249999999999999</v>
      </c>
      <c r="BU260" t="s">
        <v>978</v>
      </c>
      <c r="BV260" t="s">
        <v>86</v>
      </c>
      <c r="BY260">
        <v>31288.799999999999</v>
      </c>
      <c r="BZ260" t="s">
        <v>102</v>
      </c>
      <c r="CA260" t="s">
        <v>334</v>
      </c>
      <c r="CC260" t="s">
        <v>76</v>
      </c>
      <c r="CD260">
        <v>7700</v>
      </c>
      <c r="CE260" t="s">
        <v>143</v>
      </c>
      <c r="CF260" s="3">
        <v>45884</v>
      </c>
      <c r="CI260">
        <v>1</v>
      </c>
      <c r="CJ260">
        <v>1</v>
      </c>
      <c r="CK260">
        <v>22</v>
      </c>
      <c r="CL260" t="s">
        <v>90</v>
      </c>
    </row>
    <row r="261" spans="1:90" x14ac:dyDescent="0.3">
      <c r="A261" t="s">
        <v>72</v>
      </c>
      <c r="B261" t="s">
        <v>73</v>
      </c>
      <c r="C261" t="s">
        <v>74</v>
      </c>
      <c r="E261" t="str">
        <f>"GAB2027862"</f>
        <v>GAB2027862</v>
      </c>
      <c r="F261" s="3">
        <v>45882</v>
      </c>
      <c r="G261">
        <v>202605</v>
      </c>
      <c r="H261" t="s">
        <v>75</v>
      </c>
      <c r="I261" t="s">
        <v>76</v>
      </c>
      <c r="J261" t="s">
        <v>77</v>
      </c>
      <c r="K261" t="s">
        <v>78</v>
      </c>
      <c r="L261" t="s">
        <v>208</v>
      </c>
      <c r="M261" t="s">
        <v>209</v>
      </c>
      <c r="N261" t="s">
        <v>210</v>
      </c>
      <c r="O261" t="s">
        <v>100</v>
      </c>
      <c r="P261" t="str">
        <f>"INV-00120122 CT096612         "</f>
        <v xml:space="preserve">INV-00120122 CT096612         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0</v>
      </c>
      <c r="AK261">
        <v>0</v>
      </c>
      <c r="AL261">
        <v>0</v>
      </c>
      <c r="AM261">
        <v>0</v>
      </c>
      <c r="AN261">
        <v>0</v>
      </c>
      <c r="AO261">
        <v>0</v>
      </c>
      <c r="AP261">
        <v>0</v>
      </c>
      <c r="AQ261">
        <v>44.73</v>
      </c>
      <c r="AR261">
        <v>0</v>
      </c>
      <c r="AS261">
        <v>0</v>
      </c>
      <c r="AT261">
        <v>0</v>
      </c>
      <c r="AU261">
        <v>0</v>
      </c>
      <c r="AV261">
        <v>0</v>
      </c>
      <c r="AW261">
        <v>0</v>
      </c>
      <c r="AX261">
        <v>0</v>
      </c>
      <c r="AY261">
        <v>0</v>
      </c>
      <c r="AZ261">
        <v>0</v>
      </c>
      <c r="BA261">
        <v>0</v>
      </c>
      <c r="BB261">
        <v>0</v>
      </c>
      <c r="BC261">
        <v>0</v>
      </c>
      <c r="BD261">
        <v>0</v>
      </c>
      <c r="BE261">
        <v>0</v>
      </c>
      <c r="BF261">
        <v>0</v>
      </c>
      <c r="BG261">
        <v>0</v>
      </c>
      <c r="BH261">
        <v>2</v>
      </c>
      <c r="BI261">
        <v>2</v>
      </c>
      <c r="BJ261">
        <v>1.7</v>
      </c>
      <c r="BK261">
        <v>2</v>
      </c>
      <c r="BL261">
        <v>138.88999999999999</v>
      </c>
      <c r="BM261">
        <v>20.83</v>
      </c>
      <c r="BN261">
        <v>159.72</v>
      </c>
      <c r="BO261">
        <v>159.72</v>
      </c>
      <c r="BQ261" t="s">
        <v>211</v>
      </c>
      <c r="BR261" t="s">
        <v>84</v>
      </c>
      <c r="BS261" s="3">
        <v>45883</v>
      </c>
      <c r="BT261" s="4">
        <v>0.49652777777777779</v>
      </c>
      <c r="BU261" t="s">
        <v>610</v>
      </c>
      <c r="BV261" t="s">
        <v>86</v>
      </c>
      <c r="BY261">
        <v>8449</v>
      </c>
      <c r="BZ261" t="s">
        <v>102</v>
      </c>
      <c r="CA261" t="s">
        <v>611</v>
      </c>
      <c r="CC261" t="s">
        <v>209</v>
      </c>
      <c r="CD261">
        <v>9459</v>
      </c>
      <c r="CE261" t="s">
        <v>979</v>
      </c>
      <c r="CF261" s="3">
        <v>45883</v>
      </c>
      <c r="CI261">
        <v>2</v>
      </c>
      <c r="CJ261">
        <v>1</v>
      </c>
      <c r="CK261">
        <v>23</v>
      </c>
      <c r="CL261" t="s">
        <v>90</v>
      </c>
    </row>
    <row r="262" spans="1:90" x14ac:dyDescent="0.3">
      <c r="A262" t="s">
        <v>72</v>
      </c>
      <c r="B262" t="s">
        <v>73</v>
      </c>
      <c r="C262" t="s">
        <v>74</v>
      </c>
      <c r="E262" t="str">
        <f>"RGAB2027807"</f>
        <v>RGAB2027807</v>
      </c>
      <c r="F262" s="3">
        <v>45883</v>
      </c>
      <c r="G262">
        <v>202605</v>
      </c>
      <c r="H262" t="s">
        <v>226</v>
      </c>
      <c r="I262" t="s">
        <v>227</v>
      </c>
      <c r="J262" t="s">
        <v>785</v>
      </c>
      <c r="K262" t="s">
        <v>78</v>
      </c>
      <c r="L262" t="s">
        <v>226</v>
      </c>
      <c r="M262" t="s">
        <v>227</v>
      </c>
      <c r="N262" t="s">
        <v>785</v>
      </c>
      <c r="O262" t="s">
        <v>82</v>
      </c>
      <c r="P262" t="str">
        <f>"00120063 096570               "</f>
        <v xml:space="preserve">00120063 096570               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5.87</v>
      </c>
      <c r="AH262">
        <v>0</v>
      </c>
      <c r="AI262">
        <v>0</v>
      </c>
      <c r="AJ262">
        <v>0</v>
      </c>
      <c r="AK262">
        <v>0</v>
      </c>
      <c r="AL262">
        <v>0</v>
      </c>
      <c r="AM262">
        <v>0</v>
      </c>
      <c r="AN262">
        <v>0</v>
      </c>
      <c r="AO262">
        <v>0</v>
      </c>
      <c r="AP262">
        <v>0</v>
      </c>
      <c r="AQ262">
        <v>34.450000000000003</v>
      </c>
      <c r="AR262">
        <v>0</v>
      </c>
      <c r="AS262">
        <v>0</v>
      </c>
      <c r="AT262">
        <v>0</v>
      </c>
      <c r="AU262">
        <v>0</v>
      </c>
      <c r="AV262">
        <v>0</v>
      </c>
      <c r="AW262">
        <v>0</v>
      </c>
      <c r="AX262">
        <v>0</v>
      </c>
      <c r="AY262">
        <v>0</v>
      </c>
      <c r="AZ262">
        <v>0</v>
      </c>
      <c r="BA262">
        <v>0</v>
      </c>
      <c r="BB262">
        <v>0</v>
      </c>
      <c r="BC262">
        <v>0</v>
      </c>
      <c r="BD262">
        <v>0</v>
      </c>
      <c r="BE262">
        <v>0</v>
      </c>
      <c r="BF262">
        <v>0</v>
      </c>
      <c r="BG262">
        <v>0</v>
      </c>
      <c r="BH262">
        <v>1</v>
      </c>
      <c r="BI262">
        <v>5.6</v>
      </c>
      <c r="BJ262">
        <v>12.2</v>
      </c>
      <c r="BK262">
        <v>13</v>
      </c>
      <c r="BL262">
        <v>112.84</v>
      </c>
      <c r="BM262">
        <v>16.93</v>
      </c>
      <c r="BN262">
        <v>129.77000000000001</v>
      </c>
      <c r="BO262">
        <v>129.77000000000001</v>
      </c>
      <c r="BQ262" t="s">
        <v>980</v>
      </c>
      <c r="BR262" t="s">
        <v>786</v>
      </c>
      <c r="BS262" s="3">
        <v>45883</v>
      </c>
      <c r="BT262" s="4">
        <v>0.4826388888888889</v>
      </c>
      <c r="BU262" t="s">
        <v>981</v>
      </c>
      <c r="BV262" t="s">
        <v>86</v>
      </c>
      <c r="BY262">
        <v>61248</v>
      </c>
      <c r="CA262" t="s">
        <v>982</v>
      </c>
      <c r="CC262" t="s">
        <v>227</v>
      </c>
      <c r="CD262">
        <v>3603</v>
      </c>
      <c r="CE262" t="s">
        <v>983</v>
      </c>
      <c r="CF262" s="3">
        <v>45883</v>
      </c>
      <c r="CI262">
        <v>1</v>
      </c>
      <c r="CJ262">
        <v>0</v>
      </c>
      <c r="CK262">
        <v>42</v>
      </c>
      <c r="CL262" t="s">
        <v>90</v>
      </c>
    </row>
    <row r="263" spans="1:90" x14ac:dyDescent="0.3">
      <c r="A263" t="s">
        <v>72</v>
      </c>
      <c r="B263" t="s">
        <v>73</v>
      </c>
      <c r="C263" t="s">
        <v>74</v>
      </c>
      <c r="E263" t="str">
        <f>"GAB2027879"</f>
        <v>GAB2027879</v>
      </c>
      <c r="F263" s="3">
        <v>45883</v>
      </c>
      <c r="G263">
        <v>202605</v>
      </c>
      <c r="H263" t="s">
        <v>75</v>
      </c>
      <c r="I263" t="s">
        <v>76</v>
      </c>
      <c r="J263" t="s">
        <v>77</v>
      </c>
      <c r="K263" t="s">
        <v>78</v>
      </c>
      <c r="L263" t="s">
        <v>79</v>
      </c>
      <c r="M263" t="s">
        <v>80</v>
      </c>
      <c r="N263" t="s">
        <v>984</v>
      </c>
      <c r="O263" t="s">
        <v>82</v>
      </c>
      <c r="P263" t="str">
        <f>"INV-00120157 CT096627         "</f>
        <v xml:space="preserve">INV-00120157 CT096627         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5.87</v>
      </c>
      <c r="AH263">
        <v>0</v>
      </c>
      <c r="AI263">
        <v>0</v>
      </c>
      <c r="AJ263">
        <v>0</v>
      </c>
      <c r="AK263">
        <v>0</v>
      </c>
      <c r="AL263">
        <v>0</v>
      </c>
      <c r="AM263">
        <v>0</v>
      </c>
      <c r="AN263">
        <v>0</v>
      </c>
      <c r="AO263">
        <v>0</v>
      </c>
      <c r="AP263">
        <v>0</v>
      </c>
      <c r="AQ263">
        <v>68.599999999999994</v>
      </c>
      <c r="AR263">
        <v>0</v>
      </c>
      <c r="AS263">
        <v>0</v>
      </c>
      <c r="AT263">
        <v>0</v>
      </c>
      <c r="AU263">
        <v>0</v>
      </c>
      <c r="AV263">
        <v>0</v>
      </c>
      <c r="AW263">
        <v>0</v>
      </c>
      <c r="AX263">
        <v>0</v>
      </c>
      <c r="AY263">
        <v>0</v>
      </c>
      <c r="AZ263">
        <v>0</v>
      </c>
      <c r="BA263">
        <v>0</v>
      </c>
      <c r="BB263">
        <v>0</v>
      </c>
      <c r="BC263">
        <v>0</v>
      </c>
      <c r="BD263">
        <v>0</v>
      </c>
      <c r="BE263">
        <v>0</v>
      </c>
      <c r="BF263">
        <v>0</v>
      </c>
      <c r="BG263">
        <v>0</v>
      </c>
      <c r="BH263">
        <v>2</v>
      </c>
      <c r="BI263">
        <v>9.5</v>
      </c>
      <c r="BJ263">
        <v>27.8</v>
      </c>
      <c r="BK263">
        <v>28</v>
      </c>
      <c r="BL263">
        <v>218.89</v>
      </c>
      <c r="BM263">
        <v>32.83</v>
      </c>
      <c r="BN263">
        <v>251.72</v>
      </c>
      <c r="BO263">
        <v>251.72</v>
      </c>
      <c r="BR263" t="s">
        <v>84</v>
      </c>
      <c r="BS263" s="3">
        <v>45887</v>
      </c>
      <c r="BT263" s="4">
        <v>0.3125</v>
      </c>
      <c r="BU263" t="s">
        <v>985</v>
      </c>
      <c r="BV263" t="s">
        <v>86</v>
      </c>
      <c r="BY263">
        <v>138846.20000000001</v>
      </c>
      <c r="CA263" t="s">
        <v>285</v>
      </c>
      <c r="CC263" t="s">
        <v>80</v>
      </c>
      <c r="CD263" s="5" t="s">
        <v>237</v>
      </c>
      <c r="CE263" t="s">
        <v>386</v>
      </c>
      <c r="CF263" s="3">
        <v>45887</v>
      </c>
      <c r="CI263">
        <v>3</v>
      </c>
      <c r="CJ263">
        <v>2</v>
      </c>
      <c r="CK263">
        <v>41</v>
      </c>
      <c r="CL263" t="s">
        <v>90</v>
      </c>
    </row>
    <row r="264" spans="1:90" x14ac:dyDescent="0.3">
      <c r="A264" t="s">
        <v>72</v>
      </c>
      <c r="B264" t="s">
        <v>73</v>
      </c>
      <c r="C264" t="s">
        <v>74</v>
      </c>
      <c r="E264" t="str">
        <f>"GAB2027889"</f>
        <v>GAB2027889</v>
      </c>
      <c r="F264" s="3">
        <v>45883</v>
      </c>
      <c r="G264">
        <v>202605</v>
      </c>
      <c r="H264" t="s">
        <v>75</v>
      </c>
      <c r="I264" t="s">
        <v>76</v>
      </c>
      <c r="J264" t="s">
        <v>77</v>
      </c>
      <c r="K264" t="s">
        <v>78</v>
      </c>
      <c r="L264" t="s">
        <v>415</v>
      </c>
      <c r="M264" t="s">
        <v>416</v>
      </c>
      <c r="N264" t="s">
        <v>986</v>
      </c>
      <c r="O264" t="s">
        <v>82</v>
      </c>
      <c r="P264" t="str">
        <f>"INV-00120165 CT096645         "</f>
        <v xml:space="preserve">INV-00120165 CT096645         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5.87</v>
      </c>
      <c r="AH264">
        <v>0</v>
      </c>
      <c r="AI264">
        <v>0</v>
      </c>
      <c r="AJ264">
        <v>0</v>
      </c>
      <c r="AK264">
        <v>0</v>
      </c>
      <c r="AL264">
        <v>0</v>
      </c>
      <c r="AM264">
        <v>0</v>
      </c>
      <c r="AN264">
        <v>0</v>
      </c>
      <c r="AO264">
        <v>0</v>
      </c>
      <c r="AP264">
        <v>0</v>
      </c>
      <c r="AQ264">
        <v>112.83</v>
      </c>
      <c r="AR264">
        <v>0</v>
      </c>
      <c r="AS264">
        <v>0</v>
      </c>
      <c r="AT264">
        <v>0</v>
      </c>
      <c r="AU264">
        <v>0</v>
      </c>
      <c r="AV264">
        <v>0</v>
      </c>
      <c r="AW264">
        <v>0</v>
      </c>
      <c r="AX264">
        <v>0</v>
      </c>
      <c r="AY264">
        <v>0</v>
      </c>
      <c r="AZ264">
        <v>0</v>
      </c>
      <c r="BA264">
        <v>0</v>
      </c>
      <c r="BB264">
        <v>0</v>
      </c>
      <c r="BC264">
        <v>0</v>
      </c>
      <c r="BD264">
        <v>0</v>
      </c>
      <c r="BE264">
        <v>0</v>
      </c>
      <c r="BF264">
        <v>0</v>
      </c>
      <c r="BG264">
        <v>0</v>
      </c>
      <c r="BH264">
        <v>4</v>
      </c>
      <c r="BI264">
        <v>17.3</v>
      </c>
      <c r="BJ264">
        <v>51.8</v>
      </c>
      <c r="BK264">
        <v>52</v>
      </c>
      <c r="BL264">
        <v>356.24</v>
      </c>
      <c r="BM264">
        <v>53.44</v>
      </c>
      <c r="BN264">
        <v>409.68</v>
      </c>
      <c r="BO264">
        <v>409.68</v>
      </c>
      <c r="BQ264" t="s">
        <v>987</v>
      </c>
      <c r="BR264" t="s">
        <v>84</v>
      </c>
      <c r="BS264" t="s">
        <v>176</v>
      </c>
      <c r="BY264">
        <v>194620.48</v>
      </c>
      <c r="CC264" t="s">
        <v>416</v>
      </c>
      <c r="CD264">
        <v>1818</v>
      </c>
      <c r="CE264" t="s">
        <v>386</v>
      </c>
      <c r="CI264">
        <v>2</v>
      </c>
      <c r="CJ264" t="s">
        <v>176</v>
      </c>
      <c r="CK264">
        <v>41</v>
      </c>
      <c r="CL264" t="s">
        <v>90</v>
      </c>
    </row>
    <row r="265" spans="1:90" x14ac:dyDescent="0.3">
      <c r="A265" t="s">
        <v>72</v>
      </c>
      <c r="B265" t="s">
        <v>73</v>
      </c>
      <c r="C265" t="s">
        <v>74</v>
      </c>
      <c r="E265" t="str">
        <f>"GAB2027890"</f>
        <v>GAB2027890</v>
      </c>
      <c r="F265" s="3">
        <v>45883</v>
      </c>
      <c r="G265">
        <v>202605</v>
      </c>
      <c r="H265" t="s">
        <v>75</v>
      </c>
      <c r="I265" t="s">
        <v>76</v>
      </c>
      <c r="J265" t="s">
        <v>77</v>
      </c>
      <c r="K265" t="s">
        <v>78</v>
      </c>
      <c r="L265" t="s">
        <v>190</v>
      </c>
      <c r="M265" t="s">
        <v>191</v>
      </c>
      <c r="N265" t="s">
        <v>192</v>
      </c>
      <c r="O265" t="s">
        <v>82</v>
      </c>
      <c r="P265" t="str">
        <f>"INV-00120164 CT096643         "</f>
        <v xml:space="preserve">INV-00120164 CT096643         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5.87</v>
      </c>
      <c r="AH265">
        <v>0</v>
      </c>
      <c r="AI265">
        <v>0</v>
      </c>
      <c r="AJ265">
        <v>0</v>
      </c>
      <c r="AK265">
        <v>0</v>
      </c>
      <c r="AL265">
        <v>0</v>
      </c>
      <c r="AM265">
        <v>0</v>
      </c>
      <c r="AN265">
        <v>0</v>
      </c>
      <c r="AO265">
        <v>0</v>
      </c>
      <c r="AP265">
        <v>0</v>
      </c>
      <c r="AQ265">
        <v>147.85</v>
      </c>
      <c r="AR265">
        <v>0</v>
      </c>
      <c r="AS265">
        <v>0</v>
      </c>
      <c r="AT265">
        <v>0</v>
      </c>
      <c r="AU265">
        <v>0</v>
      </c>
      <c r="AV265">
        <v>0</v>
      </c>
      <c r="AW265">
        <v>0</v>
      </c>
      <c r="AX265">
        <v>0</v>
      </c>
      <c r="AY265">
        <v>0</v>
      </c>
      <c r="AZ265">
        <v>0</v>
      </c>
      <c r="BA265">
        <v>0</v>
      </c>
      <c r="BB265">
        <v>0</v>
      </c>
      <c r="BC265">
        <v>0</v>
      </c>
      <c r="BD265">
        <v>0</v>
      </c>
      <c r="BE265">
        <v>0</v>
      </c>
      <c r="BF265">
        <v>0</v>
      </c>
      <c r="BG265">
        <v>0</v>
      </c>
      <c r="BH265">
        <v>4</v>
      </c>
      <c r="BI265">
        <v>36.200000000000003</v>
      </c>
      <c r="BJ265">
        <v>70.900000000000006</v>
      </c>
      <c r="BK265">
        <v>71</v>
      </c>
      <c r="BL265">
        <v>464.98</v>
      </c>
      <c r="BM265">
        <v>69.75</v>
      </c>
      <c r="BN265">
        <v>534.73</v>
      </c>
      <c r="BO265">
        <v>534.73</v>
      </c>
      <c r="BQ265" t="s">
        <v>387</v>
      </c>
      <c r="BR265" t="s">
        <v>84</v>
      </c>
      <c r="BS265" s="3">
        <v>45888</v>
      </c>
      <c r="BT265" s="4">
        <v>0.34652777777777777</v>
      </c>
      <c r="BU265" t="s">
        <v>194</v>
      </c>
      <c r="BV265" t="s">
        <v>86</v>
      </c>
      <c r="BY265">
        <v>354404.92</v>
      </c>
      <c r="CA265" t="s">
        <v>195</v>
      </c>
      <c r="CC265" t="s">
        <v>191</v>
      </c>
      <c r="CD265" s="5" t="s">
        <v>196</v>
      </c>
      <c r="CE265" t="s">
        <v>171</v>
      </c>
      <c r="CF265" s="3">
        <v>45888</v>
      </c>
      <c r="CI265">
        <v>3</v>
      </c>
      <c r="CJ265">
        <v>3</v>
      </c>
      <c r="CK265">
        <v>41</v>
      </c>
      <c r="CL265" t="s">
        <v>90</v>
      </c>
    </row>
    <row r="266" spans="1:90" x14ac:dyDescent="0.3">
      <c r="A266" t="s">
        <v>72</v>
      </c>
      <c r="B266" t="s">
        <v>73</v>
      </c>
      <c r="C266" t="s">
        <v>74</v>
      </c>
      <c r="E266" t="str">
        <f>"GAB2027892"</f>
        <v>GAB2027892</v>
      </c>
      <c r="F266" s="3">
        <v>45883</v>
      </c>
      <c r="G266">
        <v>202605</v>
      </c>
      <c r="H266" t="s">
        <v>75</v>
      </c>
      <c r="I266" t="s">
        <v>76</v>
      </c>
      <c r="J266" t="s">
        <v>77</v>
      </c>
      <c r="K266" t="s">
        <v>78</v>
      </c>
      <c r="L266" t="s">
        <v>494</v>
      </c>
      <c r="M266" t="s">
        <v>495</v>
      </c>
      <c r="N266" t="s">
        <v>988</v>
      </c>
      <c r="O266" t="s">
        <v>82</v>
      </c>
      <c r="P266" t="str">
        <f>"INV-00038492 035480           "</f>
        <v xml:space="preserve">INV-00038492 035480           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5.87</v>
      </c>
      <c r="AH266">
        <v>0</v>
      </c>
      <c r="AI266">
        <v>0</v>
      </c>
      <c r="AJ266">
        <v>0</v>
      </c>
      <c r="AK266">
        <v>0</v>
      </c>
      <c r="AL266">
        <v>0</v>
      </c>
      <c r="AM266">
        <v>0</v>
      </c>
      <c r="AN266">
        <v>0</v>
      </c>
      <c r="AO266">
        <v>0</v>
      </c>
      <c r="AP266">
        <v>0</v>
      </c>
      <c r="AQ266">
        <v>44.64</v>
      </c>
      <c r="AR266">
        <v>0</v>
      </c>
      <c r="AS266">
        <v>0</v>
      </c>
      <c r="AT266">
        <v>0</v>
      </c>
      <c r="AU266">
        <v>0</v>
      </c>
      <c r="AV266">
        <v>0</v>
      </c>
      <c r="AW266">
        <v>0</v>
      </c>
      <c r="AX266">
        <v>0</v>
      </c>
      <c r="AY266">
        <v>0</v>
      </c>
      <c r="AZ266">
        <v>0</v>
      </c>
      <c r="BA266">
        <v>0</v>
      </c>
      <c r="BB266">
        <v>0</v>
      </c>
      <c r="BC266">
        <v>0</v>
      </c>
      <c r="BD266">
        <v>0</v>
      </c>
      <c r="BE266">
        <v>0</v>
      </c>
      <c r="BF266">
        <v>0</v>
      </c>
      <c r="BG266">
        <v>0</v>
      </c>
      <c r="BH266">
        <v>2</v>
      </c>
      <c r="BI266">
        <v>3.5</v>
      </c>
      <c r="BJ266">
        <v>5.2</v>
      </c>
      <c r="BK266">
        <v>6</v>
      </c>
      <c r="BL266">
        <v>144.49</v>
      </c>
      <c r="BM266">
        <v>21.67</v>
      </c>
      <c r="BN266">
        <v>166.16</v>
      </c>
      <c r="BO266">
        <v>166.16</v>
      </c>
      <c r="BQ266" t="s">
        <v>989</v>
      </c>
      <c r="BR266" t="s">
        <v>84</v>
      </c>
      <c r="BS266" s="3">
        <v>45888</v>
      </c>
      <c r="BT266" s="4">
        <v>0.43888888888888888</v>
      </c>
      <c r="BU266" t="s">
        <v>990</v>
      </c>
      <c r="BV266" t="s">
        <v>86</v>
      </c>
      <c r="BY266">
        <v>26012.1</v>
      </c>
      <c r="CA266" t="s">
        <v>947</v>
      </c>
      <c r="CC266" t="s">
        <v>495</v>
      </c>
      <c r="CD266">
        <v>3201</v>
      </c>
      <c r="CE266" t="s">
        <v>171</v>
      </c>
      <c r="CF266" s="3">
        <v>45889</v>
      </c>
      <c r="CI266">
        <v>4</v>
      </c>
      <c r="CJ266">
        <v>3</v>
      </c>
      <c r="CK266">
        <v>41</v>
      </c>
      <c r="CL266" t="s">
        <v>90</v>
      </c>
    </row>
    <row r="267" spans="1:90" x14ac:dyDescent="0.3">
      <c r="A267" t="s">
        <v>72</v>
      </c>
      <c r="B267" t="s">
        <v>73</v>
      </c>
      <c r="C267" t="s">
        <v>74</v>
      </c>
      <c r="E267" t="str">
        <f>"GAB2027878"</f>
        <v>GAB2027878</v>
      </c>
      <c r="F267" s="3">
        <v>45883</v>
      </c>
      <c r="G267">
        <v>202605</v>
      </c>
      <c r="H267" t="s">
        <v>75</v>
      </c>
      <c r="I267" t="s">
        <v>76</v>
      </c>
      <c r="J267" t="s">
        <v>77</v>
      </c>
      <c r="K267" t="s">
        <v>78</v>
      </c>
      <c r="L267" t="s">
        <v>415</v>
      </c>
      <c r="M267" t="s">
        <v>416</v>
      </c>
      <c r="N267" t="s">
        <v>991</v>
      </c>
      <c r="O267" t="s">
        <v>100</v>
      </c>
      <c r="P267" t="str">
        <f>"INV-00120159 CT096642         "</f>
        <v xml:space="preserve">INV-00120159 CT096642         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  <c r="AI267">
        <v>0</v>
      </c>
      <c r="AJ267">
        <v>0</v>
      </c>
      <c r="AK267">
        <v>0</v>
      </c>
      <c r="AL267">
        <v>0</v>
      </c>
      <c r="AM267">
        <v>0</v>
      </c>
      <c r="AN267">
        <v>0</v>
      </c>
      <c r="AO267">
        <v>0</v>
      </c>
      <c r="AP267">
        <v>0</v>
      </c>
      <c r="AQ267">
        <v>51.92</v>
      </c>
      <c r="AR267">
        <v>0</v>
      </c>
      <c r="AS267">
        <v>0</v>
      </c>
      <c r="AT267">
        <v>0</v>
      </c>
      <c r="AU267">
        <v>0</v>
      </c>
      <c r="AV267">
        <v>0</v>
      </c>
      <c r="AW267">
        <v>0</v>
      </c>
      <c r="AX267">
        <v>0</v>
      </c>
      <c r="AY267">
        <v>0</v>
      </c>
      <c r="AZ267">
        <v>0</v>
      </c>
      <c r="BA267">
        <v>0</v>
      </c>
      <c r="BB267">
        <v>0</v>
      </c>
      <c r="BC267">
        <v>0</v>
      </c>
      <c r="BD267">
        <v>0</v>
      </c>
      <c r="BE267">
        <v>0</v>
      </c>
      <c r="BF267">
        <v>0</v>
      </c>
      <c r="BG267">
        <v>0</v>
      </c>
      <c r="BH267">
        <v>2</v>
      </c>
      <c r="BI267">
        <v>1.7</v>
      </c>
      <c r="BJ267">
        <v>4.5</v>
      </c>
      <c r="BK267">
        <v>4.5</v>
      </c>
      <c r="BL267">
        <v>161.22</v>
      </c>
      <c r="BM267">
        <v>24.18</v>
      </c>
      <c r="BN267">
        <v>185.4</v>
      </c>
      <c r="BO267">
        <v>185.4</v>
      </c>
      <c r="BQ267" t="s">
        <v>992</v>
      </c>
      <c r="BR267" t="s">
        <v>84</v>
      </c>
      <c r="BS267" s="3">
        <v>45884</v>
      </c>
      <c r="BT267" s="4">
        <v>0.35972222222222222</v>
      </c>
      <c r="BU267" t="s">
        <v>993</v>
      </c>
      <c r="BV267" t="s">
        <v>86</v>
      </c>
      <c r="BY267">
        <v>22731</v>
      </c>
      <c r="BZ267" t="s">
        <v>102</v>
      </c>
      <c r="CA267" t="s">
        <v>420</v>
      </c>
      <c r="CC267" t="s">
        <v>416</v>
      </c>
      <c r="CD267">
        <v>2021</v>
      </c>
      <c r="CE267" t="s">
        <v>109</v>
      </c>
      <c r="CF267" s="3">
        <v>45884</v>
      </c>
      <c r="CI267">
        <v>1</v>
      </c>
      <c r="CJ267">
        <v>1</v>
      </c>
      <c r="CK267">
        <v>21</v>
      </c>
      <c r="CL267" t="s">
        <v>90</v>
      </c>
    </row>
    <row r="268" spans="1:90" x14ac:dyDescent="0.3">
      <c r="A268" t="s">
        <v>72</v>
      </c>
      <c r="B268" t="s">
        <v>73</v>
      </c>
      <c r="C268" t="s">
        <v>74</v>
      </c>
      <c r="E268" t="str">
        <f>"GAB2027880"</f>
        <v>GAB2027880</v>
      </c>
      <c r="F268" s="3">
        <v>45883</v>
      </c>
      <c r="G268">
        <v>202605</v>
      </c>
      <c r="H268" t="s">
        <v>75</v>
      </c>
      <c r="I268" t="s">
        <v>76</v>
      </c>
      <c r="J268" t="s">
        <v>77</v>
      </c>
      <c r="K268" t="s">
        <v>78</v>
      </c>
      <c r="L268" t="s">
        <v>918</v>
      </c>
      <c r="M268" t="s">
        <v>919</v>
      </c>
      <c r="N268" t="s">
        <v>920</v>
      </c>
      <c r="O268" t="s">
        <v>100</v>
      </c>
      <c r="P268" t="str">
        <f>"INV-00120162 CT096634         "</f>
        <v xml:space="preserve">INV-00120162 CT096634         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v>0</v>
      </c>
      <c r="AK268">
        <v>0</v>
      </c>
      <c r="AL268">
        <v>0</v>
      </c>
      <c r="AM268">
        <v>0</v>
      </c>
      <c r="AN268">
        <v>0</v>
      </c>
      <c r="AO268">
        <v>0</v>
      </c>
      <c r="AP268">
        <v>0</v>
      </c>
      <c r="AQ268">
        <v>95.22</v>
      </c>
      <c r="AR268">
        <v>0</v>
      </c>
      <c r="AS268">
        <v>0</v>
      </c>
      <c r="AT268">
        <v>0</v>
      </c>
      <c r="AU268">
        <v>0</v>
      </c>
      <c r="AV268">
        <v>0</v>
      </c>
      <c r="AW268">
        <v>0</v>
      </c>
      <c r="AX268">
        <v>0</v>
      </c>
      <c r="AY268">
        <v>0</v>
      </c>
      <c r="AZ268">
        <v>0</v>
      </c>
      <c r="BA268">
        <v>0</v>
      </c>
      <c r="BB268">
        <v>0</v>
      </c>
      <c r="BC268">
        <v>0</v>
      </c>
      <c r="BD268">
        <v>0</v>
      </c>
      <c r="BE268">
        <v>0</v>
      </c>
      <c r="BF268">
        <v>0</v>
      </c>
      <c r="BG268">
        <v>0</v>
      </c>
      <c r="BH268">
        <v>2</v>
      </c>
      <c r="BI268">
        <v>1.7</v>
      </c>
      <c r="BJ268">
        <v>4.3</v>
      </c>
      <c r="BK268">
        <v>4.5</v>
      </c>
      <c r="BL268">
        <v>295.68</v>
      </c>
      <c r="BM268">
        <v>44.35</v>
      </c>
      <c r="BN268">
        <v>340.03</v>
      </c>
      <c r="BO268">
        <v>340.03</v>
      </c>
      <c r="BR268" t="s">
        <v>84</v>
      </c>
      <c r="BS268" s="3">
        <v>45890</v>
      </c>
      <c r="BT268" s="4">
        <v>0.39652777777777776</v>
      </c>
      <c r="BU268" t="s">
        <v>994</v>
      </c>
      <c r="BV268" t="s">
        <v>90</v>
      </c>
      <c r="BY268">
        <v>21360</v>
      </c>
      <c r="BZ268" t="s">
        <v>102</v>
      </c>
      <c r="CC268" t="s">
        <v>919</v>
      </c>
      <c r="CD268">
        <v>5099</v>
      </c>
      <c r="CE268" t="s">
        <v>109</v>
      </c>
      <c r="CF268" s="3">
        <v>45890</v>
      </c>
      <c r="CI268">
        <v>4</v>
      </c>
      <c r="CJ268">
        <v>5</v>
      </c>
      <c r="CK268">
        <v>23</v>
      </c>
      <c r="CL268" t="s">
        <v>90</v>
      </c>
    </row>
    <row r="269" spans="1:90" x14ac:dyDescent="0.3">
      <c r="A269" t="s">
        <v>72</v>
      </c>
      <c r="B269" t="s">
        <v>73</v>
      </c>
      <c r="C269" t="s">
        <v>74</v>
      </c>
      <c r="E269" t="str">
        <f>"GAB2027881"</f>
        <v>GAB2027881</v>
      </c>
      <c r="F269" s="3">
        <v>45883</v>
      </c>
      <c r="G269">
        <v>202605</v>
      </c>
      <c r="H269" t="s">
        <v>75</v>
      </c>
      <c r="I269" t="s">
        <v>76</v>
      </c>
      <c r="J269" t="s">
        <v>77</v>
      </c>
      <c r="K269" t="s">
        <v>78</v>
      </c>
      <c r="L269" t="s">
        <v>126</v>
      </c>
      <c r="M269" t="s">
        <v>127</v>
      </c>
      <c r="N269" t="s">
        <v>814</v>
      </c>
      <c r="O269" t="s">
        <v>100</v>
      </c>
      <c r="P269" t="str">
        <f>"INV-00120161 CT096640         "</f>
        <v xml:space="preserve">INV-00120161 CT096640         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0</v>
      </c>
      <c r="AK269">
        <v>0</v>
      </c>
      <c r="AL269">
        <v>0</v>
      </c>
      <c r="AM269">
        <v>0</v>
      </c>
      <c r="AN269">
        <v>0</v>
      </c>
      <c r="AO269">
        <v>0</v>
      </c>
      <c r="AP269">
        <v>0</v>
      </c>
      <c r="AQ269">
        <v>18.03</v>
      </c>
      <c r="AR269">
        <v>0</v>
      </c>
      <c r="AS269">
        <v>0</v>
      </c>
      <c r="AT269">
        <v>0</v>
      </c>
      <c r="AU269">
        <v>0</v>
      </c>
      <c r="AV269">
        <v>0</v>
      </c>
      <c r="AW269">
        <v>0</v>
      </c>
      <c r="AX269">
        <v>0</v>
      </c>
      <c r="AY269">
        <v>0</v>
      </c>
      <c r="AZ269">
        <v>0</v>
      </c>
      <c r="BA269">
        <v>0</v>
      </c>
      <c r="BB269">
        <v>0</v>
      </c>
      <c r="BC269">
        <v>0</v>
      </c>
      <c r="BD269">
        <v>0</v>
      </c>
      <c r="BE269">
        <v>0</v>
      </c>
      <c r="BF269">
        <v>0</v>
      </c>
      <c r="BG269">
        <v>0</v>
      </c>
      <c r="BH269">
        <v>2</v>
      </c>
      <c r="BI269">
        <v>1.7</v>
      </c>
      <c r="BJ269">
        <v>4.3</v>
      </c>
      <c r="BK269">
        <v>5</v>
      </c>
      <c r="BL269">
        <v>55.99</v>
      </c>
      <c r="BM269">
        <v>8.4</v>
      </c>
      <c r="BN269">
        <v>64.39</v>
      </c>
      <c r="BO269">
        <v>64.39</v>
      </c>
      <c r="BQ269" t="s">
        <v>193</v>
      </c>
      <c r="BR269" t="s">
        <v>84</v>
      </c>
      <c r="BS269" s="3">
        <v>45884</v>
      </c>
      <c r="BT269" s="4">
        <v>0.41666666666666669</v>
      </c>
      <c r="BU269" t="s">
        <v>691</v>
      </c>
      <c r="BV269" t="s">
        <v>86</v>
      </c>
      <c r="BY269">
        <v>21436.639999999999</v>
      </c>
      <c r="BZ269" t="s">
        <v>102</v>
      </c>
      <c r="CA269" t="s">
        <v>692</v>
      </c>
      <c r="CC269" t="s">
        <v>127</v>
      </c>
      <c r="CD269">
        <v>7600</v>
      </c>
      <c r="CE269" t="s">
        <v>116</v>
      </c>
      <c r="CF269" s="3">
        <v>45887</v>
      </c>
      <c r="CI269">
        <v>1</v>
      </c>
      <c r="CJ269">
        <v>1</v>
      </c>
      <c r="CK269">
        <v>22</v>
      </c>
      <c r="CL269" t="s">
        <v>90</v>
      </c>
    </row>
    <row r="270" spans="1:90" x14ac:dyDescent="0.3">
      <c r="A270" t="s">
        <v>72</v>
      </c>
      <c r="B270" t="s">
        <v>73</v>
      </c>
      <c r="C270" t="s">
        <v>74</v>
      </c>
      <c r="E270" t="str">
        <f>"GAB2027883"</f>
        <v>GAB2027883</v>
      </c>
      <c r="F270" s="3">
        <v>45883</v>
      </c>
      <c r="G270">
        <v>202605</v>
      </c>
      <c r="H270" t="s">
        <v>75</v>
      </c>
      <c r="I270" t="s">
        <v>76</v>
      </c>
      <c r="J270" t="s">
        <v>77</v>
      </c>
      <c r="K270" t="s">
        <v>78</v>
      </c>
      <c r="L270" t="s">
        <v>499</v>
      </c>
      <c r="M270" t="s">
        <v>500</v>
      </c>
      <c r="N270" t="s">
        <v>501</v>
      </c>
      <c r="O270" t="s">
        <v>100</v>
      </c>
      <c r="P270" t="str">
        <f>"INV-00120155 CT096633         "</f>
        <v xml:space="preserve">INV-00120155 CT096633         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  <c r="AK270">
        <v>0</v>
      </c>
      <c r="AL270">
        <v>0</v>
      </c>
      <c r="AM270">
        <v>0</v>
      </c>
      <c r="AN270">
        <v>0</v>
      </c>
      <c r="AO270">
        <v>0</v>
      </c>
      <c r="AP270">
        <v>0</v>
      </c>
      <c r="AQ270">
        <v>51.92</v>
      </c>
      <c r="AR270">
        <v>0</v>
      </c>
      <c r="AS270">
        <v>0</v>
      </c>
      <c r="AT270">
        <v>0</v>
      </c>
      <c r="AU270">
        <v>0</v>
      </c>
      <c r="AV270">
        <v>0</v>
      </c>
      <c r="AW270">
        <v>0</v>
      </c>
      <c r="AX270">
        <v>0</v>
      </c>
      <c r="AY270">
        <v>0</v>
      </c>
      <c r="AZ270">
        <v>0</v>
      </c>
      <c r="BA270">
        <v>0</v>
      </c>
      <c r="BB270">
        <v>0</v>
      </c>
      <c r="BC270">
        <v>0</v>
      </c>
      <c r="BD270">
        <v>0</v>
      </c>
      <c r="BE270">
        <v>0</v>
      </c>
      <c r="BF270">
        <v>0</v>
      </c>
      <c r="BG270">
        <v>0</v>
      </c>
      <c r="BH270">
        <v>2</v>
      </c>
      <c r="BI270">
        <v>1.7</v>
      </c>
      <c r="BJ270">
        <v>4.2</v>
      </c>
      <c r="BK270">
        <v>4.5</v>
      </c>
      <c r="BL270">
        <v>161.22</v>
      </c>
      <c r="BM270">
        <v>24.18</v>
      </c>
      <c r="BN270">
        <v>185.4</v>
      </c>
      <c r="BO270">
        <v>185.4</v>
      </c>
      <c r="BQ270" t="s">
        <v>502</v>
      </c>
      <c r="BR270" t="s">
        <v>84</v>
      </c>
      <c r="BS270" s="3">
        <v>45887</v>
      </c>
      <c r="BT270" s="4">
        <v>0.4375</v>
      </c>
      <c r="BU270" t="s">
        <v>995</v>
      </c>
      <c r="BV270" t="s">
        <v>86</v>
      </c>
      <c r="BY270">
        <v>20988.9</v>
      </c>
      <c r="BZ270" t="s">
        <v>102</v>
      </c>
      <c r="CC270" t="s">
        <v>500</v>
      </c>
      <c r="CD270">
        <v>1200</v>
      </c>
      <c r="CE270" t="s">
        <v>109</v>
      </c>
      <c r="CF270" s="3">
        <v>45888</v>
      </c>
      <c r="CI270">
        <v>2</v>
      </c>
      <c r="CJ270">
        <v>2</v>
      </c>
      <c r="CK270">
        <v>21</v>
      </c>
      <c r="CL270" t="s">
        <v>90</v>
      </c>
    </row>
    <row r="271" spans="1:90" x14ac:dyDescent="0.3">
      <c r="A271" t="s">
        <v>72</v>
      </c>
      <c r="B271" t="s">
        <v>73</v>
      </c>
      <c r="C271" t="s">
        <v>74</v>
      </c>
      <c r="E271" t="str">
        <f>"GAB2027884"</f>
        <v>GAB2027884</v>
      </c>
      <c r="F271" s="3">
        <v>45883</v>
      </c>
      <c r="G271">
        <v>202605</v>
      </c>
      <c r="H271" t="s">
        <v>75</v>
      </c>
      <c r="I271" t="s">
        <v>76</v>
      </c>
      <c r="J271" t="s">
        <v>77</v>
      </c>
      <c r="K271" t="s">
        <v>78</v>
      </c>
      <c r="L271" t="s">
        <v>996</v>
      </c>
      <c r="M271" t="s">
        <v>997</v>
      </c>
      <c r="N271" t="s">
        <v>998</v>
      </c>
      <c r="O271" t="s">
        <v>100</v>
      </c>
      <c r="P271" t="str">
        <f>"INV-00120152 CT096636         "</f>
        <v xml:space="preserve">INV-00120152 CT096636         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0</v>
      </c>
      <c r="AK271">
        <v>0</v>
      </c>
      <c r="AL271">
        <v>0</v>
      </c>
      <c r="AM271">
        <v>0</v>
      </c>
      <c r="AN271">
        <v>0</v>
      </c>
      <c r="AO271">
        <v>0</v>
      </c>
      <c r="AP271">
        <v>0</v>
      </c>
      <c r="AQ271">
        <v>74.98</v>
      </c>
      <c r="AR271">
        <v>0</v>
      </c>
      <c r="AS271">
        <v>0</v>
      </c>
      <c r="AT271">
        <v>0</v>
      </c>
      <c r="AU271">
        <v>0</v>
      </c>
      <c r="AV271">
        <v>0</v>
      </c>
      <c r="AW271">
        <v>0</v>
      </c>
      <c r="AX271">
        <v>0</v>
      </c>
      <c r="AY271">
        <v>0</v>
      </c>
      <c r="AZ271">
        <v>0</v>
      </c>
      <c r="BA271">
        <v>0</v>
      </c>
      <c r="BB271">
        <v>0</v>
      </c>
      <c r="BC271">
        <v>0</v>
      </c>
      <c r="BD271">
        <v>0</v>
      </c>
      <c r="BE271">
        <v>0</v>
      </c>
      <c r="BF271">
        <v>0</v>
      </c>
      <c r="BG271">
        <v>0</v>
      </c>
      <c r="BH271">
        <v>2</v>
      </c>
      <c r="BI271">
        <v>1.7</v>
      </c>
      <c r="BJ271">
        <v>6.2</v>
      </c>
      <c r="BK271">
        <v>6.5</v>
      </c>
      <c r="BL271">
        <v>232.84</v>
      </c>
      <c r="BM271">
        <v>34.93</v>
      </c>
      <c r="BN271">
        <v>267.77</v>
      </c>
      <c r="BO271">
        <v>267.77</v>
      </c>
      <c r="BQ271" t="s">
        <v>999</v>
      </c>
      <c r="BR271" t="s">
        <v>84</v>
      </c>
      <c r="BS271" s="3">
        <v>45887</v>
      </c>
      <c r="BT271" s="4">
        <v>0.43055555555555558</v>
      </c>
      <c r="BU271" t="s">
        <v>1000</v>
      </c>
      <c r="BV271" t="s">
        <v>86</v>
      </c>
      <c r="BY271">
        <v>31007.64</v>
      </c>
      <c r="BZ271" t="s">
        <v>102</v>
      </c>
      <c r="CC271" t="s">
        <v>997</v>
      </c>
      <c r="CD271">
        <v>8301</v>
      </c>
      <c r="CE271" t="s">
        <v>143</v>
      </c>
      <c r="CF271" s="3">
        <v>45888</v>
      </c>
      <c r="CI271">
        <v>2</v>
      </c>
      <c r="CJ271">
        <v>2</v>
      </c>
      <c r="CK271">
        <v>21</v>
      </c>
      <c r="CL271" t="s">
        <v>90</v>
      </c>
    </row>
    <row r="272" spans="1:90" x14ac:dyDescent="0.3">
      <c r="A272" t="s">
        <v>72</v>
      </c>
      <c r="B272" t="s">
        <v>73</v>
      </c>
      <c r="C272" t="s">
        <v>74</v>
      </c>
      <c r="E272" t="str">
        <f>"GAB2027885"</f>
        <v>GAB2027885</v>
      </c>
      <c r="F272" s="3">
        <v>45883</v>
      </c>
      <c r="G272">
        <v>202605</v>
      </c>
      <c r="H272" t="s">
        <v>75</v>
      </c>
      <c r="I272" t="s">
        <v>76</v>
      </c>
      <c r="J272" t="s">
        <v>77</v>
      </c>
      <c r="K272" t="s">
        <v>78</v>
      </c>
      <c r="L272" t="s">
        <v>110</v>
      </c>
      <c r="M272" t="s">
        <v>111</v>
      </c>
      <c r="N272" t="s">
        <v>1001</v>
      </c>
      <c r="O272" t="s">
        <v>100</v>
      </c>
      <c r="P272" t="str">
        <f>"INV-00120151 CT096632         "</f>
        <v xml:space="preserve">INV-00120151 CT096632         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0</v>
      </c>
      <c r="AK272">
        <v>0</v>
      </c>
      <c r="AL272">
        <v>0</v>
      </c>
      <c r="AM272">
        <v>0</v>
      </c>
      <c r="AN272">
        <v>0</v>
      </c>
      <c r="AO272">
        <v>0</v>
      </c>
      <c r="AP272">
        <v>0</v>
      </c>
      <c r="AQ272">
        <v>79.89</v>
      </c>
      <c r="AR272">
        <v>0</v>
      </c>
      <c r="AS272">
        <v>0</v>
      </c>
      <c r="AT272">
        <v>0</v>
      </c>
      <c r="AU272">
        <v>0</v>
      </c>
      <c r="AV272">
        <v>0</v>
      </c>
      <c r="AW272">
        <v>0</v>
      </c>
      <c r="AX272">
        <v>0</v>
      </c>
      <c r="AY272">
        <v>0</v>
      </c>
      <c r="AZ272">
        <v>0</v>
      </c>
      <c r="BA272">
        <v>0</v>
      </c>
      <c r="BB272">
        <v>0</v>
      </c>
      <c r="BC272">
        <v>0</v>
      </c>
      <c r="BD272">
        <v>0</v>
      </c>
      <c r="BE272">
        <v>0</v>
      </c>
      <c r="BF272">
        <v>0</v>
      </c>
      <c r="BG272">
        <v>0</v>
      </c>
      <c r="BH272">
        <v>2</v>
      </c>
      <c r="BI272">
        <v>1.7</v>
      </c>
      <c r="BJ272">
        <v>4.7</v>
      </c>
      <c r="BK272">
        <v>5</v>
      </c>
      <c r="BL272">
        <v>248.08</v>
      </c>
      <c r="BM272">
        <v>37.21</v>
      </c>
      <c r="BN272">
        <v>285.29000000000002</v>
      </c>
      <c r="BO272">
        <v>285.29000000000002</v>
      </c>
      <c r="BQ272" t="s">
        <v>1002</v>
      </c>
      <c r="BR272" t="s">
        <v>84</v>
      </c>
      <c r="BS272" s="3">
        <v>45887</v>
      </c>
      <c r="BT272" s="4">
        <v>0.55208333333333337</v>
      </c>
      <c r="BU272" t="s">
        <v>1003</v>
      </c>
      <c r="BV272" t="s">
        <v>86</v>
      </c>
      <c r="BY272">
        <v>23461.37</v>
      </c>
      <c r="BZ272" t="s">
        <v>102</v>
      </c>
      <c r="CA272" t="s">
        <v>115</v>
      </c>
      <c r="CC272" t="s">
        <v>111</v>
      </c>
      <c r="CD272">
        <v>7200</v>
      </c>
      <c r="CE272" t="s">
        <v>116</v>
      </c>
      <c r="CF272" s="3">
        <v>45888</v>
      </c>
      <c r="CI272">
        <v>2</v>
      </c>
      <c r="CJ272">
        <v>2</v>
      </c>
      <c r="CK272">
        <v>24</v>
      </c>
      <c r="CL272" t="s">
        <v>90</v>
      </c>
    </row>
    <row r="273" spans="1:90" x14ac:dyDescent="0.3">
      <c r="A273" t="s">
        <v>72</v>
      </c>
      <c r="B273" t="s">
        <v>73</v>
      </c>
      <c r="C273" t="s">
        <v>74</v>
      </c>
      <c r="E273" t="str">
        <f>"GAB2027886"</f>
        <v>GAB2027886</v>
      </c>
      <c r="F273" s="3">
        <v>45883</v>
      </c>
      <c r="G273">
        <v>202605</v>
      </c>
      <c r="H273" t="s">
        <v>75</v>
      </c>
      <c r="I273" t="s">
        <v>76</v>
      </c>
      <c r="J273" t="s">
        <v>77</v>
      </c>
      <c r="K273" t="s">
        <v>78</v>
      </c>
      <c r="L273" t="s">
        <v>1004</v>
      </c>
      <c r="M273" t="s">
        <v>1005</v>
      </c>
      <c r="N273" t="s">
        <v>1006</v>
      </c>
      <c r="O273" t="s">
        <v>100</v>
      </c>
      <c r="P273" t="str">
        <f>"INV-00120150 CT096631         "</f>
        <v xml:space="preserve">INV-00120150 CT096631         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  <c r="AK273">
        <v>0</v>
      </c>
      <c r="AL273">
        <v>0</v>
      </c>
      <c r="AM273">
        <v>0</v>
      </c>
      <c r="AN273">
        <v>0</v>
      </c>
      <c r="AO273">
        <v>0</v>
      </c>
      <c r="AP273">
        <v>0</v>
      </c>
      <c r="AQ273">
        <v>135.61000000000001</v>
      </c>
      <c r="AR273">
        <v>0</v>
      </c>
      <c r="AS273">
        <v>0</v>
      </c>
      <c r="AT273">
        <v>0</v>
      </c>
      <c r="AU273">
        <v>0</v>
      </c>
      <c r="AV273">
        <v>0</v>
      </c>
      <c r="AW273">
        <v>0</v>
      </c>
      <c r="AX273">
        <v>0</v>
      </c>
      <c r="AY273">
        <v>0</v>
      </c>
      <c r="AZ273">
        <v>0</v>
      </c>
      <c r="BA273">
        <v>0</v>
      </c>
      <c r="BB273">
        <v>0</v>
      </c>
      <c r="BC273">
        <v>0</v>
      </c>
      <c r="BD273">
        <v>0</v>
      </c>
      <c r="BE273">
        <v>0</v>
      </c>
      <c r="BF273">
        <v>0</v>
      </c>
      <c r="BG273">
        <v>0</v>
      </c>
      <c r="BH273">
        <v>2</v>
      </c>
      <c r="BI273">
        <v>1.9</v>
      </c>
      <c r="BJ273">
        <v>6.5</v>
      </c>
      <c r="BK273">
        <v>6.5</v>
      </c>
      <c r="BL273">
        <v>421.11</v>
      </c>
      <c r="BM273">
        <v>63.17</v>
      </c>
      <c r="BN273">
        <v>484.28</v>
      </c>
      <c r="BO273">
        <v>484.28</v>
      </c>
      <c r="BR273" t="s">
        <v>84</v>
      </c>
      <c r="BS273" s="3">
        <v>45887</v>
      </c>
      <c r="BT273" s="4">
        <v>0.41249999999999998</v>
      </c>
      <c r="BU273" t="s">
        <v>1007</v>
      </c>
      <c r="BV273" t="s">
        <v>86</v>
      </c>
      <c r="BY273">
        <v>32519.4</v>
      </c>
      <c r="BZ273" t="s">
        <v>102</v>
      </c>
      <c r="CA273" t="s">
        <v>1008</v>
      </c>
      <c r="CC273" t="s">
        <v>1005</v>
      </c>
      <c r="CD273">
        <v>2571</v>
      </c>
      <c r="CE273" t="s">
        <v>544</v>
      </c>
      <c r="CF273" s="3">
        <v>45888</v>
      </c>
      <c r="CI273">
        <v>2</v>
      </c>
      <c r="CJ273">
        <v>2</v>
      </c>
      <c r="CK273">
        <v>23</v>
      </c>
      <c r="CL273" t="s">
        <v>90</v>
      </c>
    </row>
    <row r="274" spans="1:90" x14ac:dyDescent="0.3">
      <c r="A274" t="s">
        <v>72</v>
      </c>
      <c r="B274" t="s">
        <v>73</v>
      </c>
      <c r="C274" t="s">
        <v>74</v>
      </c>
      <c r="E274" t="str">
        <f>"GAB2027887"</f>
        <v>GAB2027887</v>
      </c>
      <c r="F274" s="3">
        <v>45883</v>
      </c>
      <c r="G274">
        <v>202605</v>
      </c>
      <c r="H274" t="s">
        <v>75</v>
      </c>
      <c r="I274" t="s">
        <v>76</v>
      </c>
      <c r="J274" t="s">
        <v>77</v>
      </c>
      <c r="K274" t="s">
        <v>78</v>
      </c>
      <c r="L274" t="s">
        <v>832</v>
      </c>
      <c r="M274" t="s">
        <v>833</v>
      </c>
      <c r="N274" t="s">
        <v>834</v>
      </c>
      <c r="O274" t="s">
        <v>100</v>
      </c>
      <c r="P274" t="str">
        <f>"INV-00120149 CT096630         "</f>
        <v xml:space="preserve">INV-00120149 CT096630         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0</v>
      </c>
      <c r="AK274">
        <v>0</v>
      </c>
      <c r="AL274">
        <v>0</v>
      </c>
      <c r="AM274">
        <v>0</v>
      </c>
      <c r="AN274">
        <v>0</v>
      </c>
      <c r="AO274">
        <v>0</v>
      </c>
      <c r="AP274">
        <v>0</v>
      </c>
      <c r="AQ274">
        <v>135.61000000000001</v>
      </c>
      <c r="AR274">
        <v>0</v>
      </c>
      <c r="AS274">
        <v>0</v>
      </c>
      <c r="AT274">
        <v>0</v>
      </c>
      <c r="AU274">
        <v>0</v>
      </c>
      <c r="AV274">
        <v>0</v>
      </c>
      <c r="AW274">
        <v>0</v>
      </c>
      <c r="AX274">
        <v>0</v>
      </c>
      <c r="AY274">
        <v>0</v>
      </c>
      <c r="AZ274">
        <v>0</v>
      </c>
      <c r="BA274">
        <v>0</v>
      </c>
      <c r="BB274">
        <v>0</v>
      </c>
      <c r="BC274">
        <v>0</v>
      </c>
      <c r="BD274">
        <v>0</v>
      </c>
      <c r="BE274">
        <v>0</v>
      </c>
      <c r="BF274">
        <v>0</v>
      </c>
      <c r="BG274">
        <v>0</v>
      </c>
      <c r="BH274">
        <v>2</v>
      </c>
      <c r="BI274">
        <v>1.8</v>
      </c>
      <c r="BJ274">
        <v>6.5</v>
      </c>
      <c r="BK274">
        <v>6.5</v>
      </c>
      <c r="BL274">
        <v>421.11</v>
      </c>
      <c r="BM274">
        <v>63.17</v>
      </c>
      <c r="BN274">
        <v>484.28</v>
      </c>
      <c r="BO274">
        <v>484.28</v>
      </c>
      <c r="BQ274" t="s">
        <v>835</v>
      </c>
      <c r="BR274" t="s">
        <v>84</v>
      </c>
      <c r="BS274" s="3">
        <v>45884</v>
      </c>
      <c r="BT274" s="4">
        <v>0.35208333333333336</v>
      </c>
      <c r="BU274" t="s">
        <v>1009</v>
      </c>
      <c r="BV274" t="s">
        <v>86</v>
      </c>
      <c r="BY274">
        <v>32401.65</v>
      </c>
      <c r="BZ274" t="s">
        <v>102</v>
      </c>
      <c r="CC274" t="s">
        <v>833</v>
      </c>
      <c r="CD274">
        <v>1900</v>
      </c>
      <c r="CE274" t="s">
        <v>143</v>
      </c>
      <c r="CF274" s="3">
        <v>45887</v>
      </c>
      <c r="CI274">
        <v>1</v>
      </c>
      <c r="CJ274">
        <v>1</v>
      </c>
      <c r="CK274">
        <v>23</v>
      </c>
      <c r="CL274" t="s">
        <v>90</v>
      </c>
    </row>
    <row r="275" spans="1:90" x14ac:dyDescent="0.3">
      <c r="A275" t="s">
        <v>72</v>
      </c>
      <c r="B275" t="s">
        <v>73</v>
      </c>
      <c r="C275" t="s">
        <v>74</v>
      </c>
      <c r="E275" t="str">
        <f>"GAB2027888"</f>
        <v>GAB2027888</v>
      </c>
      <c r="F275" s="3">
        <v>45883</v>
      </c>
      <c r="G275">
        <v>202605</v>
      </c>
      <c r="H275" t="s">
        <v>75</v>
      </c>
      <c r="I275" t="s">
        <v>76</v>
      </c>
      <c r="J275" t="s">
        <v>77</v>
      </c>
      <c r="K275" t="s">
        <v>78</v>
      </c>
      <c r="L275" t="s">
        <v>159</v>
      </c>
      <c r="M275" t="s">
        <v>159</v>
      </c>
      <c r="N275" t="s">
        <v>160</v>
      </c>
      <c r="O275" t="s">
        <v>100</v>
      </c>
      <c r="P275" t="str">
        <f>"INV-00120166 CT096647         "</f>
        <v xml:space="preserve">INV-00120166 CT096647         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0</v>
      </c>
      <c r="AK275">
        <v>0</v>
      </c>
      <c r="AL275">
        <v>0</v>
      </c>
      <c r="AM275">
        <v>0</v>
      </c>
      <c r="AN275">
        <v>0</v>
      </c>
      <c r="AO275">
        <v>0</v>
      </c>
      <c r="AP275">
        <v>0</v>
      </c>
      <c r="AQ275">
        <v>56.18</v>
      </c>
      <c r="AR275">
        <v>0</v>
      </c>
      <c r="AS275">
        <v>0</v>
      </c>
      <c r="AT275">
        <v>0</v>
      </c>
      <c r="AU275">
        <v>0</v>
      </c>
      <c r="AV275">
        <v>0</v>
      </c>
      <c r="AW275">
        <v>0</v>
      </c>
      <c r="AX275">
        <v>0</v>
      </c>
      <c r="AY275">
        <v>0</v>
      </c>
      <c r="AZ275">
        <v>0</v>
      </c>
      <c r="BA275">
        <v>0</v>
      </c>
      <c r="BB275">
        <v>0</v>
      </c>
      <c r="BC275">
        <v>0</v>
      </c>
      <c r="BD275">
        <v>0</v>
      </c>
      <c r="BE275">
        <v>0</v>
      </c>
      <c r="BF275">
        <v>0</v>
      </c>
      <c r="BG275">
        <v>0</v>
      </c>
      <c r="BH275">
        <v>2</v>
      </c>
      <c r="BI275">
        <v>2.1</v>
      </c>
      <c r="BJ275">
        <v>3.4</v>
      </c>
      <c r="BK275">
        <v>3.5</v>
      </c>
      <c r="BL275">
        <v>174.45</v>
      </c>
      <c r="BM275">
        <v>26.17</v>
      </c>
      <c r="BN275">
        <v>200.62</v>
      </c>
      <c r="BO275">
        <v>200.62</v>
      </c>
      <c r="BQ275" t="s">
        <v>161</v>
      </c>
      <c r="BR275" t="s">
        <v>84</v>
      </c>
      <c r="BS275" s="3">
        <v>45887</v>
      </c>
      <c r="BT275" s="4">
        <v>0.65625</v>
      </c>
      <c r="BU275" t="s">
        <v>1010</v>
      </c>
      <c r="BV275" t="s">
        <v>90</v>
      </c>
      <c r="BW275" t="s">
        <v>156</v>
      </c>
      <c r="BX275" t="s">
        <v>752</v>
      </c>
      <c r="BY275">
        <v>16975.86</v>
      </c>
      <c r="BZ275" t="s">
        <v>102</v>
      </c>
      <c r="CC275" t="s">
        <v>159</v>
      </c>
      <c r="CD275">
        <v>7646</v>
      </c>
      <c r="CE275" t="s">
        <v>703</v>
      </c>
      <c r="CF275" s="3">
        <v>45888</v>
      </c>
      <c r="CI275">
        <v>1</v>
      </c>
      <c r="CJ275">
        <v>2</v>
      </c>
      <c r="CK275">
        <v>24</v>
      </c>
      <c r="CL275" t="s">
        <v>90</v>
      </c>
    </row>
    <row r="276" spans="1:90" x14ac:dyDescent="0.3">
      <c r="A276" t="s">
        <v>72</v>
      </c>
      <c r="B276" t="s">
        <v>73</v>
      </c>
      <c r="C276" t="s">
        <v>74</v>
      </c>
      <c r="E276" t="str">
        <f>"GAB2027891"</f>
        <v>GAB2027891</v>
      </c>
      <c r="F276" s="3">
        <v>45883</v>
      </c>
      <c r="G276">
        <v>202605</v>
      </c>
      <c r="H276" t="s">
        <v>75</v>
      </c>
      <c r="I276" t="s">
        <v>76</v>
      </c>
      <c r="J276" t="s">
        <v>77</v>
      </c>
      <c r="K276" t="s">
        <v>78</v>
      </c>
      <c r="L276" t="s">
        <v>190</v>
      </c>
      <c r="M276" t="s">
        <v>191</v>
      </c>
      <c r="N276" t="s">
        <v>257</v>
      </c>
      <c r="O276" t="s">
        <v>100</v>
      </c>
      <c r="P276" t="str">
        <f>"ATT:MINETTE                   "</f>
        <v xml:space="preserve">ATT:MINETTE                   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0</v>
      </c>
      <c r="AJ276">
        <v>0</v>
      </c>
      <c r="AK276">
        <v>0</v>
      </c>
      <c r="AL276">
        <v>0</v>
      </c>
      <c r="AM276">
        <v>0</v>
      </c>
      <c r="AN276">
        <v>0</v>
      </c>
      <c r="AO276">
        <v>0</v>
      </c>
      <c r="AP276">
        <v>0</v>
      </c>
      <c r="AQ276">
        <v>57.68</v>
      </c>
      <c r="AR276">
        <v>0</v>
      </c>
      <c r="AS276">
        <v>0</v>
      </c>
      <c r="AT276">
        <v>0</v>
      </c>
      <c r="AU276">
        <v>0</v>
      </c>
      <c r="AV276">
        <v>0</v>
      </c>
      <c r="AW276">
        <v>0</v>
      </c>
      <c r="AX276">
        <v>0</v>
      </c>
      <c r="AY276">
        <v>0</v>
      </c>
      <c r="AZ276">
        <v>0</v>
      </c>
      <c r="BA276">
        <v>0</v>
      </c>
      <c r="BB276">
        <v>0</v>
      </c>
      <c r="BC276">
        <v>0</v>
      </c>
      <c r="BD276">
        <v>0</v>
      </c>
      <c r="BE276">
        <v>0</v>
      </c>
      <c r="BF276">
        <v>0</v>
      </c>
      <c r="BG276">
        <v>0</v>
      </c>
      <c r="BH276">
        <v>2</v>
      </c>
      <c r="BI276">
        <v>1.6</v>
      </c>
      <c r="BJ276">
        <v>4.5999999999999996</v>
      </c>
      <c r="BK276">
        <v>5</v>
      </c>
      <c r="BL276">
        <v>179.12</v>
      </c>
      <c r="BM276">
        <v>26.87</v>
      </c>
      <c r="BN276">
        <v>205.99</v>
      </c>
      <c r="BO276">
        <v>205.99</v>
      </c>
      <c r="BQ276" t="s">
        <v>258</v>
      </c>
      <c r="BR276" t="s">
        <v>84</v>
      </c>
      <c r="BS276" s="3">
        <v>45884</v>
      </c>
      <c r="BT276" s="4">
        <v>0.36944444444444446</v>
      </c>
      <c r="BU276" t="s">
        <v>259</v>
      </c>
      <c r="BV276" t="s">
        <v>86</v>
      </c>
      <c r="BY276">
        <v>22853.7</v>
      </c>
      <c r="BZ276" t="s">
        <v>102</v>
      </c>
      <c r="CA276" t="s">
        <v>260</v>
      </c>
      <c r="CC276" t="s">
        <v>191</v>
      </c>
      <c r="CD276" s="5" t="s">
        <v>196</v>
      </c>
      <c r="CE276" t="s">
        <v>571</v>
      </c>
      <c r="CF276" s="3">
        <v>45884</v>
      </c>
      <c r="CI276">
        <v>1</v>
      </c>
      <c r="CJ276">
        <v>1</v>
      </c>
      <c r="CK276">
        <v>21</v>
      </c>
      <c r="CL276" t="s">
        <v>90</v>
      </c>
    </row>
    <row r="277" spans="1:90" x14ac:dyDescent="0.3">
      <c r="A277" t="s">
        <v>72</v>
      </c>
      <c r="B277" t="s">
        <v>73</v>
      </c>
      <c r="C277" t="s">
        <v>74</v>
      </c>
      <c r="E277" t="str">
        <f>"GAB2027893"</f>
        <v>GAB2027893</v>
      </c>
      <c r="F277" s="3">
        <v>45883</v>
      </c>
      <c r="G277">
        <v>202605</v>
      </c>
      <c r="H277" t="s">
        <v>75</v>
      </c>
      <c r="I277" t="s">
        <v>76</v>
      </c>
      <c r="J277" t="s">
        <v>77</v>
      </c>
      <c r="K277" t="s">
        <v>78</v>
      </c>
      <c r="L277" t="s">
        <v>444</v>
      </c>
      <c r="M277" t="s">
        <v>445</v>
      </c>
      <c r="N277" t="s">
        <v>734</v>
      </c>
      <c r="O277" t="s">
        <v>100</v>
      </c>
      <c r="P277" t="str">
        <f>"inv-00120169 CT096650         "</f>
        <v xml:space="preserve">inv-00120169 CT096650         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0</v>
      </c>
      <c r="AJ277">
        <v>0</v>
      </c>
      <c r="AK277">
        <v>0</v>
      </c>
      <c r="AL277">
        <v>0</v>
      </c>
      <c r="AM277">
        <v>0</v>
      </c>
      <c r="AN277">
        <v>0</v>
      </c>
      <c r="AO277">
        <v>0</v>
      </c>
      <c r="AP277">
        <v>0</v>
      </c>
      <c r="AQ277">
        <v>85.12</v>
      </c>
      <c r="AR277">
        <v>0</v>
      </c>
      <c r="AS277">
        <v>0</v>
      </c>
      <c r="AT277">
        <v>0</v>
      </c>
      <c r="AU277">
        <v>0</v>
      </c>
      <c r="AV277">
        <v>0</v>
      </c>
      <c r="AW277">
        <v>0</v>
      </c>
      <c r="AX277">
        <v>0</v>
      </c>
      <c r="AY277">
        <v>0</v>
      </c>
      <c r="AZ277">
        <v>0</v>
      </c>
      <c r="BA277">
        <v>0</v>
      </c>
      <c r="BB277">
        <v>0</v>
      </c>
      <c r="BC277">
        <v>0</v>
      </c>
      <c r="BD277">
        <v>0</v>
      </c>
      <c r="BE277">
        <v>0</v>
      </c>
      <c r="BF277">
        <v>0</v>
      </c>
      <c r="BG277">
        <v>0</v>
      </c>
      <c r="BH277">
        <v>2</v>
      </c>
      <c r="BI277">
        <v>2.1</v>
      </c>
      <c r="BJ277">
        <v>3.6</v>
      </c>
      <c r="BK277">
        <v>4</v>
      </c>
      <c r="BL277">
        <v>264.32</v>
      </c>
      <c r="BM277">
        <v>39.65</v>
      </c>
      <c r="BN277">
        <v>303.97000000000003</v>
      </c>
      <c r="BO277">
        <v>303.97000000000003</v>
      </c>
      <c r="BQ277" t="s">
        <v>1011</v>
      </c>
      <c r="BR277" t="s">
        <v>84</v>
      </c>
      <c r="BS277" s="3">
        <v>45891</v>
      </c>
      <c r="BT277" s="4">
        <v>0.5854166666666667</v>
      </c>
      <c r="BU277" t="s">
        <v>1012</v>
      </c>
      <c r="BV277" t="s">
        <v>90</v>
      </c>
      <c r="BW277" t="s">
        <v>759</v>
      </c>
      <c r="BX277" t="s">
        <v>1013</v>
      </c>
      <c r="BY277">
        <v>17944.2</v>
      </c>
      <c r="BZ277" t="s">
        <v>102</v>
      </c>
      <c r="CC277" t="s">
        <v>445</v>
      </c>
      <c r="CD277" s="5" t="s">
        <v>450</v>
      </c>
      <c r="CE277" t="s">
        <v>1014</v>
      </c>
      <c r="CF277" s="3">
        <v>45894</v>
      </c>
      <c r="CI277">
        <v>2</v>
      </c>
      <c r="CJ277">
        <v>6</v>
      </c>
      <c r="CK277">
        <v>23</v>
      </c>
      <c r="CL277" t="s">
        <v>90</v>
      </c>
    </row>
    <row r="278" spans="1:90" x14ac:dyDescent="0.3">
      <c r="A278" t="s">
        <v>72</v>
      </c>
      <c r="B278" t="s">
        <v>73</v>
      </c>
      <c r="C278" t="s">
        <v>74</v>
      </c>
      <c r="E278" t="str">
        <f>"GAB2027894"</f>
        <v>GAB2027894</v>
      </c>
      <c r="F278" s="3">
        <v>45883</v>
      </c>
      <c r="G278">
        <v>202605</v>
      </c>
      <c r="H278" t="s">
        <v>75</v>
      </c>
      <c r="I278" t="s">
        <v>76</v>
      </c>
      <c r="J278" t="s">
        <v>77</v>
      </c>
      <c r="K278" t="s">
        <v>78</v>
      </c>
      <c r="L278" t="s">
        <v>75</v>
      </c>
      <c r="M278" t="s">
        <v>76</v>
      </c>
      <c r="N278" t="s">
        <v>243</v>
      </c>
      <c r="O278" t="s">
        <v>100</v>
      </c>
      <c r="P278" t="str">
        <f>"INV-00120160 CT096641         "</f>
        <v xml:space="preserve">INV-00120160 CT096641         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0</v>
      </c>
      <c r="AG278">
        <v>0</v>
      </c>
      <c r="AH278">
        <v>0</v>
      </c>
      <c r="AI278">
        <v>0</v>
      </c>
      <c r="AJ278">
        <v>0</v>
      </c>
      <c r="AK278">
        <v>0</v>
      </c>
      <c r="AL278">
        <v>0</v>
      </c>
      <c r="AM278">
        <v>0</v>
      </c>
      <c r="AN278">
        <v>0</v>
      </c>
      <c r="AO278">
        <v>0</v>
      </c>
      <c r="AP278">
        <v>0</v>
      </c>
      <c r="AQ278">
        <v>18.03</v>
      </c>
      <c r="AR278">
        <v>0</v>
      </c>
      <c r="AS278">
        <v>0</v>
      </c>
      <c r="AT278">
        <v>0</v>
      </c>
      <c r="AU278">
        <v>0</v>
      </c>
      <c r="AV278">
        <v>0</v>
      </c>
      <c r="AW278">
        <v>0</v>
      </c>
      <c r="AX278">
        <v>0</v>
      </c>
      <c r="AY278">
        <v>0</v>
      </c>
      <c r="AZ278">
        <v>0</v>
      </c>
      <c r="BA278">
        <v>0</v>
      </c>
      <c r="BB278">
        <v>0</v>
      </c>
      <c r="BC278">
        <v>0</v>
      </c>
      <c r="BD278">
        <v>0</v>
      </c>
      <c r="BE278">
        <v>0</v>
      </c>
      <c r="BF278">
        <v>0</v>
      </c>
      <c r="BG278">
        <v>0</v>
      </c>
      <c r="BH278">
        <v>2</v>
      </c>
      <c r="BI278">
        <v>2.2999999999999998</v>
      </c>
      <c r="BJ278">
        <v>5</v>
      </c>
      <c r="BK278">
        <v>5</v>
      </c>
      <c r="BL278">
        <v>55.99</v>
      </c>
      <c r="BM278">
        <v>8.4</v>
      </c>
      <c r="BN278">
        <v>64.39</v>
      </c>
      <c r="BO278">
        <v>64.39</v>
      </c>
      <c r="BQ278" t="s">
        <v>244</v>
      </c>
      <c r="BR278" t="s">
        <v>84</v>
      </c>
      <c r="BS278" s="3">
        <v>45884</v>
      </c>
      <c r="BT278" s="4">
        <v>0.42777777777777776</v>
      </c>
      <c r="BU278" t="s">
        <v>466</v>
      </c>
      <c r="BV278" t="s">
        <v>86</v>
      </c>
      <c r="BY278">
        <v>25111.4</v>
      </c>
      <c r="BZ278" t="s">
        <v>102</v>
      </c>
      <c r="CA278" t="s">
        <v>424</v>
      </c>
      <c r="CC278" t="s">
        <v>76</v>
      </c>
      <c r="CD278">
        <v>7800</v>
      </c>
      <c r="CE278" t="s">
        <v>125</v>
      </c>
      <c r="CF278" s="3">
        <v>45887</v>
      </c>
      <c r="CI278">
        <v>1</v>
      </c>
      <c r="CJ278">
        <v>1</v>
      </c>
      <c r="CK278">
        <v>22</v>
      </c>
      <c r="CL278" t="s">
        <v>90</v>
      </c>
    </row>
    <row r="279" spans="1:90" x14ac:dyDescent="0.3">
      <c r="A279" t="s">
        <v>72</v>
      </c>
      <c r="B279" t="s">
        <v>73</v>
      </c>
      <c r="C279" t="s">
        <v>74</v>
      </c>
      <c r="E279" t="str">
        <f>"080011595906"</f>
        <v>080011595906</v>
      </c>
      <c r="F279" s="3">
        <v>45884</v>
      </c>
      <c r="G279">
        <v>202605</v>
      </c>
      <c r="H279" t="s">
        <v>407</v>
      </c>
      <c r="I279" t="s">
        <v>408</v>
      </c>
      <c r="J279" t="s">
        <v>1015</v>
      </c>
      <c r="K279" t="s">
        <v>78</v>
      </c>
      <c r="L279" t="s">
        <v>79</v>
      </c>
      <c r="M279" t="s">
        <v>80</v>
      </c>
      <c r="N279" t="s">
        <v>257</v>
      </c>
      <c r="O279" t="s">
        <v>82</v>
      </c>
      <c r="P279" t="str">
        <f>"-                             "</f>
        <v xml:space="preserve">-                             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5.87</v>
      </c>
      <c r="AH279">
        <v>0</v>
      </c>
      <c r="AI279">
        <v>0</v>
      </c>
      <c r="AJ279">
        <v>0</v>
      </c>
      <c r="AK279">
        <v>0</v>
      </c>
      <c r="AL279">
        <v>0</v>
      </c>
      <c r="AM279">
        <v>0</v>
      </c>
      <c r="AN279">
        <v>0</v>
      </c>
      <c r="AO279">
        <v>0</v>
      </c>
      <c r="AP279">
        <v>0</v>
      </c>
      <c r="AQ279">
        <v>44.64</v>
      </c>
      <c r="AR279">
        <v>0</v>
      </c>
      <c r="AS279">
        <v>0</v>
      </c>
      <c r="AT279">
        <v>0</v>
      </c>
      <c r="AU279">
        <v>0</v>
      </c>
      <c r="AV279">
        <v>0</v>
      </c>
      <c r="AW279">
        <v>0</v>
      </c>
      <c r="AX279">
        <v>0</v>
      </c>
      <c r="AY279">
        <v>0</v>
      </c>
      <c r="AZ279">
        <v>0</v>
      </c>
      <c r="BA279">
        <v>0</v>
      </c>
      <c r="BB279">
        <v>0</v>
      </c>
      <c r="BC279">
        <v>0</v>
      </c>
      <c r="BD279">
        <v>0</v>
      </c>
      <c r="BE279">
        <v>0</v>
      </c>
      <c r="BF279">
        <v>0</v>
      </c>
      <c r="BG279">
        <v>0</v>
      </c>
      <c r="BH279">
        <v>1</v>
      </c>
      <c r="BI279">
        <v>5</v>
      </c>
      <c r="BJ279">
        <v>12.8</v>
      </c>
      <c r="BK279">
        <v>13</v>
      </c>
      <c r="BL279">
        <v>144.49</v>
      </c>
      <c r="BM279">
        <v>21.67</v>
      </c>
      <c r="BN279">
        <v>166.16</v>
      </c>
      <c r="BO279">
        <v>166.16</v>
      </c>
      <c r="BP279" t="s">
        <v>176</v>
      </c>
      <c r="BQ279" t="s">
        <v>1016</v>
      </c>
      <c r="BR279" t="s">
        <v>1017</v>
      </c>
      <c r="BS279" s="3">
        <v>45887</v>
      </c>
      <c r="BT279" s="4">
        <v>0.38194444444444442</v>
      </c>
      <c r="BU279" t="s">
        <v>1018</v>
      </c>
      <c r="BV279" t="s">
        <v>86</v>
      </c>
      <c r="BY279">
        <v>64000</v>
      </c>
      <c r="BZ279" t="s">
        <v>606</v>
      </c>
      <c r="CA279" t="s">
        <v>1019</v>
      </c>
      <c r="CC279" t="s">
        <v>80</v>
      </c>
      <c r="CD279" s="5" t="s">
        <v>1020</v>
      </c>
      <c r="CE279" t="s">
        <v>616</v>
      </c>
      <c r="CF279" s="3">
        <v>45887</v>
      </c>
      <c r="CI279">
        <v>1</v>
      </c>
      <c r="CJ279">
        <v>1</v>
      </c>
      <c r="CK279">
        <v>41</v>
      </c>
      <c r="CL279" t="s">
        <v>90</v>
      </c>
    </row>
    <row r="280" spans="1:90" x14ac:dyDescent="0.3">
      <c r="A280" t="s">
        <v>72</v>
      </c>
      <c r="B280" t="s">
        <v>73</v>
      </c>
      <c r="C280" t="s">
        <v>74</v>
      </c>
      <c r="E280" t="str">
        <f>"GAB2027895"</f>
        <v>GAB2027895</v>
      </c>
      <c r="F280" s="3">
        <v>45884</v>
      </c>
      <c r="G280">
        <v>202605</v>
      </c>
      <c r="H280" t="s">
        <v>75</v>
      </c>
      <c r="I280" t="s">
        <v>76</v>
      </c>
      <c r="J280" t="s">
        <v>77</v>
      </c>
      <c r="K280" t="s">
        <v>78</v>
      </c>
      <c r="L280" t="s">
        <v>79</v>
      </c>
      <c r="M280" t="s">
        <v>80</v>
      </c>
      <c r="N280" t="s">
        <v>635</v>
      </c>
      <c r="O280" t="s">
        <v>82</v>
      </c>
      <c r="P280" t="str">
        <f>"inv-00120177 CT096605         "</f>
        <v xml:space="preserve">inv-00120177 CT096605         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5.87</v>
      </c>
      <c r="AH280">
        <v>0</v>
      </c>
      <c r="AI280">
        <v>0</v>
      </c>
      <c r="AJ280">
        <v>0</v>
      </c>
      <c r="AK280">
        <v>0</v>
      </c>
      <c r="AL280">
        <v>0</v>
      </c>
      <c r="AM280">
        <v>0</v>
      </c>
      <c r="AN280">
        <v>0</v>
      </c>
      <c r="AO280">
        <v>0</v>
      </c>
      <c r="AP280">
        <v>0</v>
      </c>
      <c r="AQ280">
        <v>44.64</v>
      </c>
      <c r="AR280">
        <v>0</v>
      </c>
      <c r="AS280">
        <v>0</v>
      </c>
      <c r="AT280">
        <v>0</v>
      </c>
      <c r="AU280">
        <v>0</v>
      </c>
      <c r="AV280">
        <v>0</v>
      </c>
      <c r="AW280">
        <v>0</v>
      </c>
      <c r="AX280">
        <v>0</v>
      </c>
      <c r="AY280">
        <v>0</v>
      </c>
      <c r="AZ280">
        <v>0</v>
      </c>
      <c r="BA280">
        <v>0</v>
      </c>
      <c r="BB280">
        <v>0</v>
      </c>
      <c r="BC280">
        <v>0</v>
      </c>
      <c r="BD280">
        <v>0</v>
      </c>
      <c r="BE280">
        <v>0</v>
      </c>
      <c r="BF280">
        <v>0</v>
      </c>
      <c r="BG280">
        <v>0</v>
      </c>
      <c r="BH280">
        <v>2</v>
      </c>
      <c r="BI280">
        <v>2.4</v>
      </c>
      <c r="BJ280">
        <v>4.7</v>
      </c>
      <c r="BK280">
        <v>5</v>
      </c>
      <c r="BL280">
        <v>144.49</v>
      </c>
      <c r="BM280">
        <v>21.67</v>
      </c>
      <c r="BN280">
        <v>166.16</v>
      </c>
      <c r="BO280">
        <v>166.16</v>
      </c>
      <c r="BQ280" t="s">
        <v>1021</v>
      </c>
      <c r="BR280" t="s">
        <v>84</v>
      </c>
      <c r="BS280" s="3">
        <v>45887</v>
      </c>
      <c r="BT280" s="4">
        <v>0.69444444444444442</v>
      </c>
      <c r="BU280" t="s">
        <v>1022</v>
      </c>
      <c r="BV280" t="s">
        <v>86</v>
      </c>
      <c r="BY280">
        <v>23255.8</v>
      </c>
      <c r="CA280" t="s">
        <v>1023</v>
      </c>
      <c r="CC280" t="s">
        <v>80</v>
      </c>
      <c r="CD280" s="5" t="s">
        <v>639</v>
      </c>
      <c r="CE280" t="s">
        <v>1024</v>
      </c>
      <c r="CF280" s="3">
        <v>45888</v>
      </c>
      <c r="CI280">
        <v>3</v>
      </c>
      <c r="CJ280">
        <v>1</v>
      </c>
      <c r="CK280">
        <v>41</v>
      </c>
      <c r="CL280" t="s">
        <v>90</v>
      </c>
    </row>
    <row r="281" spans="1:90" x14ac:dyDescent="0.3">
      <c r="A281" t="s">
        <v>72</v>
      </c>
      <c r="B281" t="s">
        <v>73</v>
      </c>
      <c r="C281" t="s">
        <v>74</v>
      </c>
      <c r="E281" t="str">
        <f>"GAB2027897"</f>
        <v>GAB2027897</v>
      </c>
      <c r="F281" s="3">
        <v>45884</v>
      </c>
      <c r="G281">
        <v>202605</v>
      </c>
      <c r="H281" t="s">
        <v>75</v>
      </c>
      <c r="I281" t="s">
        <v>76</v>
      </c>
      <c r="J281" t="s">
        <v>77</v>
      </c>
      <c r="K281" t="s">
        <v>78</v>
      </c>
      <c r="L281" t="s">
        <v>75</v>
      </c>
      <c r="M281" t="s">
        <v>76</v>
      </c>
      <c r="N281" t="s">
        <v>717</v>
      </c>
      <c r="O281" t="s">
        <v>82</v>
      </c>
      <c r="P281" t="str">
        <f>"INV-00120182 CT096657         "</f>
        <v xml:space="preserve">INV-00120182 CT096657         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5.87</v>
      </c>
      <c r="AH281">
        <v>0</v>
      </c>
      <c r="AI281">
        <v>0</v>
      </c>
      <c r="AJ281">
        <v>0</v>
      </c>
      <c r="AK281">
        <v>0</v>
      </c>
      <c r="AL281">
        <v>0</v>
      </c>
      <c r="AM281">
        <v>0</v>
      </c>
      <c r="AN281">
        <v>0</v>
      </c>
      <c r="AO281">
        <v>0</v>
      </c>
      <c r="AP281">
        <v>0</v>
      </c>
      <c r="AQ281">
        <v>44.52</v>
      </c>
      <c r="AR281">
        <v>0</v>
      </c>
      <c r="AS281">
        <v>0</v>
      </c>
      <c r="AT281">
        <v>0</v>
      </c>
      <c r="AU281">
        <v>0</v>
      </c>
      <c r="AV281">
        <v>0</v>
      </c>
      <c r="AW281">
        <v>0</v>
      </c>
      <c r="AX281">
        <v>0</v>
      </c>
      <c r="AY281">
        <v>0</v>
      </c>
      <c r="AZ281">
        <v>0</v>
      </c>
      <c r="BA281">
        <v>0</v>
      </c>
      <c r="BB281">
        <v>0</v>
      </c>
      <c r="BC281">
        <v>0</v>
      </c>
      <c r="BD281">
        <v>0</v>
      </c>
      <c r="BE281">
        <v>0</v>
      </c>
      <c r="BF281">
        <v>0</v>
      </c>
      <c r="BG281">
        <v>0</v>
      </c>
      <c r="BH281">
        <v>2</v>
      </c>
      <c r="BI281">
        <v>13.3</v>
      </c>
      <c r="BJ281">
        <v>24.9</v>
      </c>
      <c r="BK281">
        <v>25</v>
      </c>
      <c r="BL281">
        <v>144.11000000000001</v>
      </c>
      <c r="BM281">
        <v>21.62</v>
      </c>
      <c r="BN281">
        <v>165.73</v>
      </c>
      <c r="BO281">
        <v>165.73</v>
      </c>
      <c r="BQ281" t="s">
        <v>718</v>
      </c>
      <c r="BR281" t="s">
        <v>84</v>
      </c>
      <c r="BS281" s="3">
        <v>45888</v>
      </c>
      <c r="BT281" s="4">
        <v>0.4909722222222222</v>
      </c>
      <c r="BU281" t="s">
        <v>1025</v>
      </c>
      <c r="BV281" t="s">
        <v>90</v>
      </c>
      <c r="BW281" t="s">
        <v>156</v>
      </c>
      <c r="BX281" t="s">
        <v>350</v>
      </c>
      <c r="BY281">
        <v>124570.65</v>
      </c>
      <c r="CA281" t="s">
        <v>343</v>
      </c>
      <c r="CC281" t="s">
        <v>76</v>
      </c>
      <c r="CD281">
        <v>7550</v>
      </c>
      <c r="CE281" t="s">
        <v>171</v>
      </c>
      <c r="CF281" s="3">
        <v>45889</v>
      </c>
      <c r="CI281">
        <v>1</v>
      </c>
      <c r="CJ281">
        <v>2</v>
      </c>
      <c r="CK281">
        <v>42</v>
      </c>
      <c r="CL281" t="s">
        <v>90</v>
      </c>
    </row>
    <row r="282" spans="1:90" x14ac:dyDescent="0.3">
      <c r="A282" t="s">
        <v>72</v>
      </c>
      <c r="B282" t="s">
        <v>73</v>
      </c>
      <c r="C282" t="s">
        <v>74</v>
      </c>
      <c r="E282" t="str">
        <f>"GAB2027900"</f>
        <v>GAB2027900</v>
      </c>
      <c r="F282" s="3">
        <v>45884</v>
      </c>
      <c r="G282">
        <v>202605</v>
      </c>
      <c r="H282" t="s">
        <v>75</v>
      </c>
      <c r="I282" t="s">
        <v>76</v>
      </c>
      <c r="J282" t="s">
        <v>77</v>
      </c>
      <c r="K282" t="s">
        <v>78</v>
      </c>
      <c r="L282" t="s">
        <v>545</v>
      </c>
      <c r="M282" t="s">
        <v>546</v>
      </c>
      <c r="N282" t="s">
        <v>1026</v>
      </c>
      <c r="O282" t="s">
        <v>82</v>
      </c>
      <c r="P282" t="str">
        <f>"INV-00120188 CT096593         "</f>
        <v xml:space="preserve">INV-00120188 CT096593         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5.87</v>
      </c>
      <c r="AH282">
        <v>0</v>
      </c>
      <c r="AI282">
        <v>0</v>
      </c>
      <c r="AJ282">
        <v>0</v>
      </c>
      <c r="AK282">
        <v>0</v>
      </c>
      <c r="AL282">
        <v>0</v>
      </c>
      <c r="AM282">
        <v>0</v>
      </c>
      <c r="AN282">
        <v>0</v>
      </c>
      <c r="AO282">
        <v>0</v>
      </c>
      <c r="AP282">
        <v>0</v>
      </c>
      <c r="AQ282">
        <v>44.64</v>
      </c>
      <c r="AR282">
        <v>0</v>
      </c>
      <c r="AS282">
        <v>0</v>
      </c>
      <c r="AT282">
        <v>0</v>
      </c>
      <c r="AU282">
        <v>0</v>
      </c>
      <c r="AV282">
        <v>0</v>
      </c>
      <c r="AW282">
        <v>0</v>
      </c>
      <c r="AX282">
        <v>0</v>
      </c>
      <c r="AY282">
        <v>0</v>
      </c>
      <c r="AZ282">
        <v>0</v>
      </c>
      <c r="BA282">
        <v>0</v>
      </c>
      <c r="BB282">
        <v>0</v>
      </c>
      <c r="BC282">
        <v>0</v>
      </c>
      <c r="BD282">
        <v>0</v>
      </c>
      <c r="BE282">
        <v>0</v>
      </c>
      <c r="BF282">
        <v>0</v>
      </c>
      <c r="BG282">
        <v>0</v>
      </c>
      <c r="BH282">
        <v>2</v>
      </c>
      <c r="BI282">
        <v>6.2</v>
      </c>
      <c r="BJ282">
        <v>12.3</v>
      </c>
      <c r="BK282">
        <v>13</v>
      </c>
      <c r="BL282">
        <v>144.49</v>
      </c>
      <c r="BM282">
        <v>21.67</v>
      </c>
      <c r="BN282">
        <v>166.16</v>
      </c>
      <c r="BO282">
        <v>166.16</v>
      </c>
      <c r="BR282" t="s">
        <v>84</v>
      </c>
      <c r="BS282" s="3">
        <v>45887</v>
      </c>
      <c r="BT282" s="4">
        <v>0.40763888888888888</v>
      </c>
      <c r="BU282" t="s">
        <v>637</v>
      </c>
      <c r="BV282" t="s">
        <v>86</v>
      </c>
      <c r="BY282">
        <v>61253.760000000002</v>
      </c>
      <c r="CA282" t="s">
        <v>1027</v>
      </c>
      <c r="CC282" t="s">
        <v>546</v>
      </c>
      <c r="CD282">
        <v>1619</v>
      </c>
      <c r="CE282" t="s">
        <v>89</v>
      </c>
      <c r="CF282" s="3">
        <v>45887</v>
      </c>
      <c r="CI282">
        <v>2</v>
      </c>
      <c r="CJ282">
        <v>1</v>
      </c>
      <c r="CK282">
        <v>41</v>
      </c>
      <c r="CL282" t="s">
        <v>90</v>
      </c>
    </row>
    <row r="283" spans="1:90" x14ac:dyDescent="0.3">
      <c r="A283" t="s">
        <v>72</v>
      </c>
      <c r="B283" t="s">
        <v>73</v>
      </c>
      <c r="C283" t="s">
        <v>74</v>
      </c>
      <c r="E283" t="str">
        <f>"GAB2027905"</f>
        <v>GAB2027905</v>
      </c>
      <c r="F283" s="3">
        <v>45884</v>
      </c>
      <c r="G283">
        <v>202605</v>
      </c>
      <c r="H283" t="s">
        <v>75</v>
      </c>
      <c r="I283" t="s">
        <v>76</v>
      </c>
      <c r="J283" t="s">
        <v>77</v>
      </c>
      <c r="K283" t="s">
        <v>78</v>
      </c>
      <c r="L283" t="s">
        <v>345</v>
      </c>
      <c r="M283" t="s">
        <v>346</v>
      </c>
      <c r="N283" t="s">
        <v>1028</v>
      </c>
      <c r="O283" t="s">
        <v>82</v>
      </c>
      <c r="P283" t="str">
        <f>"INV-00120191 CT096606         "</f>
        <v xml:space="preserve">INV-00120191 CT096606         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5.87</v>
      </c>
      <c r="AH283">
        <v>0</v>
      </c>
      <c r="AI283">
        <v>0</v>
      </c>
      <c r="AJ283">
        <v>0</v>
      </c>
      <c r="AK283">
        <v>0</v>
      </c>
      <c r="AL283">
        <v>0</v>
      </c>
      <c r="AM283">
        <v>0</v>
      </c>
      <c r="AN283">
        <v>0</v>
      </c>
      <c r="AO283">
        <v>0</v>
      </c>
      <c r="AP283">
        <v>0</v>
      </c>
      <c r="AQ283">
        <v>44.64</v>
      </c>
      <c r="AR283">
        <v>0</v>
      </c>
      <c r="AS283">
        <v>0</v>
      </c>
      <c r="AT283">
        <v>0</v>
      </c>
      <c r="AU283">
        <v>0</v>
      </c>
      <c r="AV283">
        <v>0</v>
      </c>
      <c r="AW283">
        <v>0</v>
      </c>
      <c r="AX283">
        <v>0</v>
      </c>
      <c r="AY283">
        <v>0</v>
      </c>
      <c r="AZ283">
        <v>0</v>
      </c>
      <c r="BA283">
        <v>0</v>
      </c>
      <c r="BB283">
        <v>0</v>
      </c>
      <c r="BC283">
        <v>0</v>
      </c>
      <c r="BD283">
        <v>0</v>
      </c>
      <c r="BE283">
        <v>0</v>
      </c>
      <c r="BF283">
        <v>0</v>
      </c>
      <c r="BG283">
        <v>0</v>
      </c>
      <c r="BH283">
        <v>2</v>
      </c>
      <c r="BI283">
        <v>1.9</v>
      </c>
      <c r="BJ283">
        <v>4.4000000000000004</v>
      </c>
      <c r="BK283">
        <v>5</v>
      </c>
      <c r="BL283">
        <v>144.49</v>
      </c>
      <c r="BM283">
        <v>21.67</v>
      </c>
      <c r="BN283">
        <v>166.16</v>
      </c>
      <c r="BO283">
        <v>166.16</v>
      </c>
      <c r="BQ283" t="s">
        <v>1029</v>
      </c>
      <c r="BR283" t="s">
        <v>84</v>
      </c>
      <c r="BS283" s="3">
        <v>45888</v>
      </c>
      <c r="BT283" s="4">
        <v>0.64930555555555558</v>
      </c>
      <c r="BU283" t="s">
        <v>1030</v>
      </c>
      <c r="BV283" t="s">
        <v>86</v>
      </c>
      <c r="BY283">
        <v>21795.24</v>
      </c>
      <c r="CC283" t="s">
        <v>346</v>
      </c>
      <c r="CD283">
        <v>9301</v>
      </c>
      <c r="CE283" t="s">
        <v>640</v>
      </c>
      <c r="CF283" s="3">
        <v>45889</v>
      </c>
      <c r="CI283">
        <v>4</v>
      </c>
      <c r="CJ283">
        <v>2</v>
      </c>
      <c r="CK283">
        <v>41</v>
      </c>
      <c r="CL283" t="s">
        <v>90</v>
      </c>
    </row>
    <row r="284" spans="1:90" x14ac:dyDescent="0.3">
      <c r="A284" t="s">
        <v>72</v>
      </c>
      <c r="B284" t="s">
        <v>73</v>
      </c>
      <c r="C284" t="s">
        <v>74</v>
      </c>
      <c r="E284" t="str">
        <f>"GAB2027907"</f>
        <v>GAB2027907</v>
      </c>
      <c r="F284" s="3">
        <v>45884</v>
      </c>
      <c r="G284">
        <v>202605</v>
      </c>
      <c r="H284" t="s">
        <v>75</v>
      </c>
      <c r="I284" t="s">
        <v>76</v>
      </c>
      <c r="J284" t="s">
        <v>77</v>
      </c>
      <c r="K284" t="s">
        <v>78</v>
      </c>
      <c r="L284" t="s">
        <v>1031</v>
      </c>
      <c r="M284" t="s">
        <v>1032</v>
      </c>
      <c r="N284" t="s">
        <v>1033</v>
      </c>
      <c r="O284" t="s">
        <v>82</v>
      </c>
      <c r="P284" t="str">
        <f>"INV-00120196 CT096628         "</f>
        <v xml:space="preserve">INV-00120196 CT096628         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5.87</v>
      </c>
      <c r="AH284">
        <v>0</v>
      </c>
      <c r="AI284">
        <v>0</v>
      </c>
      <c r="AJ284">
        <v>0</v>
      </c>
      <c r="AK284">
        <v>0</v>
      </c>
      <c r="AL284">
        <v>0</v>
      </c>
      <c r="AM284">
        <v>0</v>
      </c>
      <c r="AN284">
        <v>0</v>
      </c>
      <c r="AO284">
        <v>0</v>
      </c>
      <c r="AP284">
        <v>0</v>
      </c>
      <c r="AQ284">
        <v>181.94</v>
      </c>
      <c r="AR284">
        <v>0</v>
      </c>
      <c r="AS284">
        <v>0</v>
      </c>
      <c r="AT284">
        <v>0</v>
      </c>
      <c r="AU284">
        <v>0</v>
      </c>
      <c r="AV284">
        <v>0</v>
      </c>
      <c r="AW284">
        <v>0</v>
      </c>
      <c r="AX284">
        <v>0</v>
      </c>
      <c r="AY284">
        <v>0</v>
      </c>
      <c r="AZ284">
        <v>0</v>
      </c>
      <c r="BA284">
        <v>0</v>
      </c>
      <c r="BB284">
        <v>0</v>
      </c>
      <c r="BC284">
        <v>0</v>
      </c>
      <c r="BD284">
        <v>0</v>
      </c>
      <c r="BE284">
        <v>0</v>
      </c>
      <c r="BF284">
        <v>0</v>
      </c>
      <c r="BG284">
        <v>0</v>
      </c>
      <c r="BH284">
        <v>4</v>
      </c>
      <c r="BI284">
        <v>18.3</v>
      </c>
      <c r="BJ284">
        <v>51.2</v>
      </c>
      <c r="BK284">
        <v>52</v>
      </c>
      <c r="BL284">
        <v>570.85</v>
      </c>
      <c r="BM284">
        <v>85.63</v>
      </c>
      <c r="BN284">
        <v>656.48</v>
      </c>
      <c r="BO284">
        <v>656.48</v>
      </c>
      <c r="BQ284" t="s">
        <v>135</v>
      </c>
      <c r="BR284" t="s">
        <v>84</v>
      </c>
      <c r="BS284" s="3">
        <v>45888</v>
      </c>
      <c r="BT284" s="4">
        <v>0.50277777777777777</v>
      </c>
      <c r="BU284" t="s">
        <v>1034</v>
      </c>
      <c r="BV284" t="s">
        <v>86</v>
      </c>
      <c r="BY284">
        <v>191385.48</v>
      </c>
      <c r="CC284" t="s">
        <v>1032</v>
      </c>
      <c r="CD284">
        <v>1380</v>
      </c>
      <c r="CE284" t="s">
        <v>386</v>
      </c>
      <c r="CF284" s="3">
        <v>45888</v>
      </c>
      <c r="CI284">
        <v>2</v>
      </c>
      <c r="CJ284">
        <v>2</v>
      </c>
      <c r="CK284">
        <v>43</v>
      </c>
      <c r="CL284" t="s">
        <v>90</v>
      </c>
    </row>
    <row r="285" spans="1:90" x14ac:dyDescent="0.3">
      <c r="A285" t="s">
        <v>72</v>
      </c>
      <c r="B285" t="s">
        <v>73</v>
      </c>
      <c r="C285" t="s">
        <v>74</v>
      </c>
      <c r="E285" t="str">
        <f>"GAB2027910"</f>
        <v>GAB2027910</v>
      </c>
      <c r="F285" s="3">
        <v>45884</v>
      </c>
      <c r="G285">
        <v>202605</v>
      </c>
      <c r="H285" t="s">
        <v>75</v>
      </c>
      <c r="I285" t="s">
        <v>76</v>
      </c>
      <c r="J285" t="s">
        <v>77</v>
      </c>
      <c r="K285" t="s">
        <v>78</v>
      </c>
      <c r="L285" t="s">
        <v>148</v>
      </c>
      <c r="M285" t="s">
        <v>149</v>
      </c>
      <c r="N285" t="s">
        <v>150</v>
      </c>
      <c r="O285" t="s">
        <v>82</v>
      </c>
      <c r="P285" t="str">
        <f>"INV-001200197 CT096668        "</f>
        <v xml:space="preserve">INV-001200197 CT096668        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5.87</v>
      </c>
      <c r="AH285">
        <v>0</v>
      </c>
      <c r="AI285">
        <v>0</v>
      </c>
      <c r="AJ285">
        <v>0</v>
      </c>
      <c r="AK285">
        <v>0</v>
      </c>
      <c r="AL285">
        <v>0</v>
      </c>
      <c r="AM285">
        <v>0</v>
      </c>
      <c r="AN285">
        <v>0</v>
      </c>
      <c r="AO285">
        <v>0</v>
      </c>
      <c r="AP285">
        <v>0</v>
      </c>
      <c r="AQ285">
        <v>112.83</v>
      </c>
      <c r="AR285">
        <v>0</v>
      </c>
      <c r="AS285">
        <v>0</v>
      </c>
      <c r="AT285">
        <v>0</v>
      </c>
      <c r="AU285">
        <v>0</v>
      </c>
      <c r="AV285">
        <v>0</v>
      </c>
      <c r="AW285">
        <v>0</v>
      </c>
      <c r="AX285">
        <v>0</v>
      </c>
      <c r="AY285">
        <v>0</v>
      </c>
      <c r="AZ285">
        <v>0</v>
      </c>
      <c r="BA285">
        <v>0</v>
      </c>
      <c r="BB285">
        <v>0</v>
      </c>
      <c r="BC285">
        <v>0</v>
      </c>
      <c r="BD285">
        <v>0</v>
      </c>
      <c r="BE285">
        <v>0</v>
      </c>
      <c r="BF285">
        <v>0</v>
      </c>
      <c r="BG285">
        <v>0</v>
      </c>
      <c r="BH285">
        <v>4</v>
      </c>
      <c r="BI285">
        <v>18.899999999999999</v>
      </c>
      <c r="BJ285">
        <v>51.6</v>
      </c>
      <c r="BK285">
        <v>52</v>
      </c>
      <c r="BL285">
        <v>356.24</v>
      </c>
      <c r="BM285">
        <v>53.44</v>
      </c>
      <c r="BN285">
        <v>409.68</v>
      </c>
      <c r="BO285">
        <v>409.68</v>
      </c>
      <c r="BR285" t="s">
        <v>84</v>
      </c>
      <c r="BS285" s="3">
        <v>45888</v>
      </c>
      <c r="BT285" s="4">
        <v>0.36041666666666666</v>
      </c>
      <c r="BU285" t="s">
        <v>1035</v>
      </c>
      <c r="BV285" t="s">
        <v>86</v>
      </c>
      <c r="BY285">
        <v>193464</v>
      </c>
      <c r="CA285" t="s">
        <v>1036</v>
      </c>
      <c r="CC285" t="s">
        <v>149</v>
      </c>
      <c r="CD285">
        <v>6001</v>
      </c>
      <c r="CE285" t="s">
        <v>386</v>
      </c>
      <c r="CF285" s="3">
        <v>45888</v>
      </c>
      <c r="CI285">
        <v>3</v>
      </c>
      <c r="CJ285">
        <v>2</v>
      </c>
      <c r="CK285">
        <v>41</v>
      </c>
      <c r="CL285" t="s">
        <v>90</v>
      </c>
    </row>
    <row r="286" spans="1:90" x14ac:dyDescent="0.3">
      <c r="A286" t="s">
        <v>72</v>
      </c>
      <c r="B286" t="s">
        <v>73</v>
      </c>
      <c r="C286" t="s">
        <v>74</v>
      </c>
      <c r="E286" t="str">
        <f>"GAB2027896"</f>
        <v>GAB2027896</v>
      </c>
      <c r="F286" s="3">
        <v>45884</v>
      </c>
      <c r="G286">
        <v>202605</v>
      </c>
      <c r="H286" t="s">
        <v>75</v>
      </c>
      <c r="I286" t="s">
        <v>76</v>
      </c>
      <c r="J286" t="s">
        <v>77</v>
      </c>
      <c r="K286" t="s">
        <v>78</v>
      </c>
      <c r="L286" t="s">
        <v>415</v>
      </c>
      <c r="M286" t="s">
        <v>416</v>
      </c>
      <c r="N286" t="s">
        <v>962</v>
      </c>
      <c r="O286" t="s">
        <v>100</v>
      </c>
      <c r="P286" t="str">
        <f>"INV-00120179 CT096662         "</f>
        <v xml:space="preserve">INV-00120179 CT096662         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  <c r="AI286">
        <v>0</v>
      </c>
      <c r="AJ286">
        <v>0</v>
      </c>
      <c r="AK286">
        <v>0</v>
      </c>
      <c r="AL286">
        <v>0</v>
      </c>
      <c r="AM286">
        <v>0</v>
      </c>
      <c r="AN286">
        <v>0</v>
      </c>
      <c r="AO286">
        <v>0</v>
      </c>
      <c r="AP286">
        <v>0</v>
      </c>
      <c r="AQ286">
        <v>57.68</v>
      </c>
      <c r="AR286">
        <v>0</v>
      </c>
      <c r="AS286">
        <v>0</v>
      </c>
      <c r="AT286">
        <v>0</v>
      </c>
      <c r="AU286">
        <v>0</v>
      </c>
      <c r="AV286">
        <v>0</v>
      </c>
      <c r="AW286">
        <v>0</v>
      </c>
      <c r="AX286">
        <v>0</v>
      </c>
      <c r="AY286">
        <v>0</v>
      </c>
      <c r="AZ286">
        <v>0</v>
      </c>
      <c r="BA286">
        <v>0</v>
      </c>
      <c r="BB286">
        <v>0</v>
      </c>
      <c r="BC286">
        <v>0</v>
      </c>
      <c r="BD286">
        <v>0</v>
      </c>
      <c r="BE286">
        <v>0</v>
      </c>
      <c r="BF286">
        <v>0</v>
      </c>
      <c r="BG286">
        <v>0</v>
      </c>
      <c r="BH286">
        <v>2</v>
      </c>
      <c r="BI286">
        <v>1.7</v>
      </c>
      <c r="BJ286">
        <v>4.5999999999999996</v>
      </c>
      <c r="BK286">
        <v>5</v>
      </c>
      <c r="BL286">
        <v>179.12</v>
      </c>
      <c r="BM286">
        <v>26.87</v>
      </c>
      <c r="BN286">
        <v>205.99</v>
      </c>
      <c r="BO286">
        <v>205.99</v>
      </c>
      <c r="BQ286" t="s">
        <v>963</v>
      </c>
      <c r="BR286" t="s">
        <v>84</v>
      </c>
      <c r="BS286" s="3">
        <v>45887</v>
      </c>
      <c r="BT286" s="4">
        <v>0.40416666666666667</v>
      </c>
      <c r="BU286" t="s">
        <v>1037</v>
      </c>
      <c r="BV286" t="s">
        <v>86</v>
      </c>
      <c r="BY286">
        <v>22944</v>
      </c>
      <c r="BZ286" t="s">
        <v>102</v>
      </c>
      <c r="CA286" t="s">
        <v>965</v>
      </c>
      <c r="CC286" t="s">
        <v>416</v>
      </c>
      <c r="CD286">
        <v>2196</v>
      </c>
      <c r="CE286" t="s">
        <v>109</v>
      </c>
      <c r="CF286" s="3">
        <v>45887</v>
      </c>
      <c r="CI286">
        <v>1</v>
      </c>
      <c r="CJ286">
        <v>1</v>
      </c>
      <c r="CK286">
        <v>21</v>
      </c>
      <c r="CL286" t="s">
        <v>90</v>
      </c>
    </row>
    <row r="287" spans="1:90" x14ac:dyDescent="0.3">
      <c r="A287" t="s">
        <v>72</v>
      </c>
      <c r="B287" t="s">
        <v>73</v>
      </c>
      <c r="C287" t="s">
        <v>74</v>
      </c>
      <c r="E287" t="str">
        <f>"GAB2027898"</f>
        <v>GAB2027898</v>
      </c>
      <c r="F287" s="3">
        <v>45884</v>
      </c>
      <c r="G287">
        <v>202605</v>
      </c>
      <c r="H287" t="s">
        <v>75</v>
      </c>
      <c r="I287" t="s">
        <v>76</v>
      </c>
      <c r="J287" t="s">
        <v>77</v>
      </c>
      <c r="K287" t="s">
        <v>78</v>
      </c>
      <c r="L287" t="s">
        <v>132</v>
      </c>
      <c r="M287" t="s">
        <v>133</v>
      </c>
      <c r="N287" t="s">
        <v>134</v>
      </c>
      <c r="O287" t="s">
        <v>100</v>
      </c>
      <c r="P287" t="str">
        <f>"INV-00120184 CT09660          "</f>
        <v xml:space="preserve">INV-00120184 CT09660          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  <c r="AI287">
        <v>0</v>
      </c>
      <c r="AJ287">
        <v>0</v>
      </c>
      <c r="AK287">
        <v>0</v>
      </c>
      <c r="AL287">
        <v>0</v>
      </c>
      <c r="AM287">
        <v>0</v>
      </c>
      <c r="AN287">
        <v>0</v>
      </c>
      <c r="AO287">
        <v>0</v>
      </c>
      <c r="AP287">
        <v>0</v>
      </c>
      <c r="AQ287">
        <v>75.02</v>
      </c>
      <c r="AR287">
        <v>0</v>
      </c>
      <c r="AS287">
        <v>0</v>
      </c>
      <c r="AT287">
        <v>0</v>
      </c>
      <c r="AU287">
        <v>0</v>
      </c>
      <c r="AV287">
        <v>0</v>
      </c>
      <c r="AW287">
        <v>0</v>
      </c>
      <c r="AX287">
        <v>0</v>
      </c>
      <c r="AY287">
        <v>0</v>
      </c>
      <c r="AZ287">
        <v>0</v>
      </c>
      <c r="BA287">
        <v>0</v>
      </c>
      <c r="BB287">
        <v>0</v>
      </c>
      <c r="BC287">
        <v>0</v>
      </c>
      <c r="BD287">
        <v>0</v>
      </c>
      <c r="BE287">
        <v>0</v>
      </c>
      <c r="BF287">
        <v>0</v>
      </c>
      <c r="BG287">
        <v>0</v>
      </c>
      <c r="BH287">
        <v>2</v>
      </c>
      <c r="BI287">
        <v>2.1</v>
      </c>
      <c r="BJ287">
        <v>3.4</v>
      </c>
      <c r="BK287">
        <v>3.5</v>
      </c>
      <c r="BL287">
        <v>232.96</v>
      </c>
      <c r="BM287">
        <v>34.94</v>
      </c>
      <c r="BN287">
        <v>267.89999999999998</v>
      </c>
      <c r="BO287">
        <v>267.89999999999998</v>
      </c>
      <c r="BQ287" t="s">
        <v>135</v>
      </c>
      <c r="BR287" t="s">
        <v>84</v>
      </c>
      <c r="BS287" s="3">
        <v>45888</v>
      </c>
      <c r="BT287" s="4">
        <v>0.5625</v>
      </c>
      <c r="BU287" t="s">
        <v>1038</v>
      </c>
      <c r="BV287" t="s">
        <v>86</v>
      </c>
      <c r="BY287">
        <v>17207.759999999998</v>
      </c>
      <c r="BZ287" t="s">
        <v>102</v>
      </c>
      <c r="CA287" t="s">
        <v>1039</v>
      </c>
      <c r="CC287" t="s">
        <v>133</v>
      </c>
      <c r="CD287">
        <v>3100</v>
      </c>
      <c r="CE287" t="s">
        <v>703</v>
      </c>
      <c r="CF287" s="3">
        <v>45889</v>
      </c>
      <c r="CI287">
        <v>2</v>
      </c>
      <c r="CJ287">
        <v>2</v>
      </c>
      <c r="CK287">
        <v>23</v>
      </c>
      <c r="CL287" t="s">
        <v>90</v>
      </c>
    </row>
    <row r="288" spans="1:90" x14ac:dyDescent="0.3">
      <c r="A288" t="s">
        <v>72</v>
      </c>
      <c r="B288" t="s">
        <v>73</v>
      </c>
      <c r="C288" t="s">
        <v>74</v>
      </c>
      <c r="E288" t="str">
        <f>"GAB2027899"</f>
        <v>GAB2027899</v>
      </c>
      <c r="F288" s="3">
        <v>45884</v>
      </c>
      <c r="G288">
        <v>202605</v>
      </c>
      <c r="H288" t="s">
        <v>75</v>
      </c>
      <c r="I288" t="s">
        <v>76</v>
      </c>
      <c r="J288" t="s">
        <v>77</v>
      </c>
      <c r="K288" t="s">
        <v>78</v>
      </c>
      <c r="L288" t="s">
        <v>190</v>
      </c>
      <c r="M288" t="s">
        <v>191</v>
      </c>
      <c r="N288" t="s">
        <v>398</v>
      </c>
      <c r="O288" t="s">
        <v>100</v>
      </c>
      <c r="P288" t="str">
        <f>"INV-00120187 CT096569         "</f>
        <v xml:space="preserve">INV-00120187 CT096569         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  <c r="AI288">
        <v>0</v>
      </c>
      <c r="AJ288">
        <v>0</v>
      </c>
      <c r="AK288">
        <v>0</v>
      </c>
      <c r="AL288">
        <v>0</v>
      </c>
      <c r="AM288">
        <v>0</v>
      </c>
      <c r="AN288">
        <v>0</v>
      </c>
      <c r="AO288">
        <v>0</v>
      </c>
      <c r="AP288">
        <v>0</v>
      </c>
      <c r="AQ288">
        <v>57.68</v>
      </c>
      <c r="AR288">
        <v>0</v>
      </c>
      <c r="AS288">
        <v>0</v>
      </c>
      <c r="AT288">
        <v>0</v>
      </c>
      <c r="AU288">
        <v>0</v>
      </c>
      <c r="AV288">
        <v>0</v>
      </c>
      <c r="AW288">
        <v>0</v>
      </c>
      <c r="AX288">
        <v>0</v>
      </c>
      <c r="AY288">
        <v>0</v>
      </c>
      <c r="AZ288">
        <v>0</v>
      </c>
      <c r="BA288">
        <v>0</v>
      </c>
      <c r="BB288">
        <v>0</v>
      </c>
      <c r="BC288">
        <v>0</v>
      </c>
      <c r="BD288">
        <v>0</v>
      </c>
      <c r="BE288">
        <v>0</v>
      </c>
      <c r="BF288">
        <v>0</v>
      </c>
      <c r="BG288">
        <v>0</v>
      </c>
      <c r="BH288">
        <v>2</v>
      </c>
      <c r="BI288">
        <v>2.8</v>
      </c>
      <c r="BJ288">
        <v>5</v>
      </c>
      <c r="BK288">
        <v>5</v>
      </c>
      <c r="BL288">
        <v>179.12</v>
      </c>
      <c r="BM288">
        <v>26.87</v>
      </c>
      <c r="BN288">
        <v>205.99</v>
      </c>
      <c r="BO288">
        <v>205.99</v>
      </c>
      <c r="BQ288" t="s">
        <v>399</v>
      </c>
      <c r="BR288" t="s">
        <v>84</v>
      </c>
      <c r="BS288" s="3">
        <v>45888</v>
      </c>
      <c r="BT288" s="4">
        <v>0.34652777777777777</v>
      </c>
      <c r="BU288" t="s">
        <v>194</v>
      </c>
      <c r="BV288" t="s">
        <v>90</v>
      </c>
      <c r="BW288" t="s">
        <v>589</v>
      </c>
      <c r="BX288" t="s">
        <v>1040</v>
      </c>
      <c r="BY288">
        <v>25155.57</v>
      </c>
      <c r="BZ288" t="s">
        <v>102</v>
      </c>
      <c r="CA288" t="s">
        <v>195</v>
      </c>
      <c r="CC288" t="s">
        <v>191</v>
      </c>
      <c r="CD288" s="5" t="s">
        <v>196</v>
      </c>
      <c r="CE288" t="s">
        <v>335</v>
      </c>
      <c r="CF288" s="3">
        <v>45888</v>
      </c>
      <c r="CI288">
        <v>1</v>
      </c>
      <c r="CJ288">
        <v>2</v>
      </c>
      <c r="CK288">
        <v>21</v>
      </c>
      <c r="CL288" t="s">
        <v>90</v>
      </c>
    </row>
    <row r="289" spans="1:90" x14ac:dyDescent="0.3">
      <c r="A289" t="s">
        <v>72</v>
      </c>
      <c r="B289" t="s">
        <v>73</v>
      </c>
      <c r="C289" t="s">
        <v>74</v>
      </c>
      <c r="E289" t="str">
        <f>"GAB2027901"</f>
        <v>GAB2027901</v>
      </c>
      <c r="F289" s="3">
        <v>45884</v>
      </c>
      <c r="G289">
        <v>202605</v>
      </c>
      <c r="H289" t="s">
        <v>75</v>
      </c>
      <c r="I289" t="s">
        <v>76</v>
      </c>
      <c r="J289" t="s">
        <v>77</v>
      </c>
      <c r="K289" t="s">
        <v>78</v>
      </c>
      <c r="L289" t="s">
        <v>75</v>
      </c>
      <c r="M289" t="s">
        <v>76</v>
      </c>
      <c r="N289" t="s">
        <v>243</v>
      </c>
      <c r="O289" t="s">
        <v>100</v>
      </c>
      <c r="P289" t="str">
        <f>"INV-00120183 CT096663         "</f>
        <v xml:space="preserve">INV-00120183 CT096663         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0</v>
      </c>
      <c r="AJ289">
        <v>0</v>
      </c>
      <c r="AK289">
        <v>0</v>
      </c>
      <c r="AL289">
        <v>0</v>
      </c>
      <c r="AM289">
        <v>0</v>
      </c>
      <c r="AN289">
        <v>0</v>
      </c>
      <c r="AO289">
        <v>0</v>
      </c>
      <c r="AP289">
        <v>0</v>
      </c>
      <c r="AQ289">
        <v>18.03</v>
      </c>
      <c r="AR289">
        <v>0</v>
      </c>
      <c r="AS289">
        <v>0</v>
      </c>
      <c r="AT289">
        <v>0</v>
      </c>
      <c r="AU289">
        <v>0</v>
      </c>
      <c r="AV289">
        <v>0</v>
      </c>
      <c r="AW289">
        <v>0</v>
      </c>
      <c r="AX289">
        <v>0</v>
      </c>
      <c r="AY289">
        <v>0</v>
      </c>
      <c r="AZ289">
        <v>0</v>
      </c>
      <c r="BA289">
        <v>0</v>
      </c>
      <c r="BB289">
        <v>0</v>
      </c>
      <c r="BC289">
        <v>0</v>
      </c>
      <c r="BD289">
        <v>0</v>
      </c>
      <c r="BE289">
        <v>0</v>
      </c>
      <c r="BF289">
        <v>0</v>
      </c>
      <c r="BG289">
        <v>0</v>
      </c>
      <c r="BH289">
        <v>2</v>
      </c>
      <c r="BI289">
        <v>1.9</v>
      </c>
      <c r="BJ289">
        <v>5</v>
      </c>
      <c r="BK289">
        <v>5</v>
      </c>
      <c r="BL289">
        <v>55.99</v>
      </c>
      <c r="BM289">
        <v>8.4</v>
      </c>
      <c r="BN289">
        <v>64.39</v>
      </c>
      <c r="BO289">
        <v>64.39</v>
      </c>
      <c r="BQ289" t="s">
        <v>244</v>
      </c>
      <c r="BR289" t="s">
        <v>84</v>
      </c>
      <c r="BS289" s="3">
        <v>45888</v>
      </c>
      <c r="BT289" s="4">
        <v>0.41666666666666669</v>
      </c>
      <c r="BU289" t="s">
        <v>1041</v>
      </c>
      <c r="BV289" t="s">
        <v>90</v>
      </c>
      <c r="BW289" t="s">
        <v>156</v>
      </c>
      <c r="BX289" t="s">
        <v>350</v>
      </c>
      <c r="BY289">
        <v>25127.1</v>
      </c>
      <c r="BZ289" t="s">
        <v>102</v>
      </c>
      <c r="CA289" t="s">
        <v>1042</v>
      </c>
      <c r="CC289" t="s">
        <v>76</v>
      </c>
      <c r="CD289">
        <v>7800</v>
      </c>
      <c r="CE289" t="s">
        <v>109</v>
      </c>
      <c r="CF289" s="3">
        <v>45889</v>
      </c>
      <c r="CI289">
        <v>1</v>
      </c>
      <c r="CJ289">
        <v>2</v>
      </c>
      <c r="CK289">
        <v>22</v>
      </c>
      <c r="CL289" t="s">
        <v>90</v>
      </c>
    </row>
    <row r="290" spans="1:90" x14ac:dyDescent="0.3">
      <c r="A290" t="s">
        <v>72</v>
      </c>
      <c r="B290" t="s">
        <v>73</v>
      </c>
      <c r="C290" t="s">
        <v>74</v>
      </c>
      <c r="E290" t="str">
        <f>"GAB2027902"</f>
        <v>GAB2027902</v>
      </c>
      <c r="F290" s="3">
        <v>45884</v>
      </c>
      <c r="G290">
        <v>202605</v>
      </c>
      <c r="H290" t="s">
        <v>75</v>
      </c>
      <c r="I290" t="s">
        <v>76</v>
      </c>
      <c r="J290" t="s">
        <v>77</v>
      </c>
      <c r="K290" t="s">
        <v>78</v>
      </c>
      <c r="L290" t="s">
        <v>159</v>
      </c>
      <c r="M290" t="s">
        <v>159</v>
      </c>
      <c r="N290" t="s">
        <v>160</v>
      </c>
      <c r="O290" t="s">
        <v>100</v>
      </c>
      <c r="P290" t="str">
        <f>"INV-00120180 00120174 CT096661"</f>
        <v>INV-00120180 00120174 CT096661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0</v>
      </c>
      <c r="AJ290">
        <v>0</v>
      </c>
      <c r="AK290">
        <v>0</v>
      </c>
      <c r="AL290">
        <v>0</v>
      </c>
      <c r="AM290">
        <v>0</v>
      </c>
      <c r="AN290">
        <v>0</v>
      </c>
      <c r="AO290">
        <v>0</v>
      </c>
      <c r="AP290">
        <v>0</v>
      </c>
      <c r="AQ290">
        <v>103.6</v>
      </c>
      <c r="AR290">
        <v>0</v>
      </c>
      <c r="AS290">
        <v>0</v>
      </c>
      <c r="AT290">
        <v>0</v>
      </c>
      <c r="AU290">
        <v>0</v>
      </c>
      <c r="AV290">
        <v>0</v>
      </c>
      <c r="AW290">
        <v>0</v>
      </c>
      <c r="AX290">
        <v>0</v>
      </c>
      <c r="AY290">
        <v>0</v>
      </c>
      <c r="AZ290">
        <v>0</v>
      </c>
      <c r="BA290">
        <v>0</v>
      </c>
      <c r="BB290">
        <v>0</v>
      </c>
      <c r="BC290">
        <v>0</v>
      </c>
      <c r="BD290">
        <v>0</v>
      </c>
      <c r="BE290">
        <v>0</v>
      </c>
      <c r="BF290">
        <v>0</v>
      </c>
      <c r="BG290">
        <v>0</v>
      </c>
      <c r="BH290">
        <v>2</v>
      </c>
      <c r="BI290">
        <v>1.9</v>
      </c>
      <c r="BJ290">
        <v>6.5</v>
      </c>
      <c r="BK290">
        <v>6.5</v>
      </c>
      <c r="BL290">
        <v>321.70999999999998</v>
      </c>
      <c r="BM290">
        <v>48.26</v>
      </c>
      <c r="BN290">
        <v>369.97</v>
      </c>
      <c r="BO290">
        <v>369.97</v>
      </c>
      <c r="BQ290" t="s">
        <v>362</v>
      </c>
      <c r="BR290" t="s">
        <v>84</v>
      </c>
      <c r="BS290" s="3">
        <v>45888</v>
      </c>
      <c r="BT290" s="4">
        <v>0.70138888888888884</v>
      </c>
      <c r="BU290" t="s">
        <v>1043</v>
      </c>
      <c r="BV290" t="s">
        <v>90</v>
      </c>
      <c r="BW290" t="s">
        <v>156</v>
      </c>
      <c r="BX290" t="s">
        <v>1044</v>
      </c>
      <c r="BY290">
        <v>32538.3</v>
      </c>
      <c r="BZ290" t="s">
        <v>102</v>
      </c>
      <c r="CC290" t="s">
        <v>159</v>
      </c>
      <c r="CD290">
        <v>7646</v>
      </c>
      <c r="CE290" t="s">
        <v>471</v>
      </c>
      <c r="CF290" s="3">
        <v>45889</v>
      </c>
      <c r="CI290">
        <v>1</v>
      </c>
      <c r="CJ290">
        <v>2</v>
      </c>
      <c r="CK290">
        <v>24</v>
      </c>
      <c r="CL290" t="s">
        <v>90</v>
      </c>
    </row>
    <row r="291" spans="1:90" x14ac:dyDescent="0.3">
      <c r="A291" t="s">
        <v>72</v>
      </c>
      <c r="B291" t="s">
        <v>73</v>
      </c>
      <c r="C291" t="s">
        <v>74</v>
      </c>
      <c r="E291" t="str">
        <f>"GAB2027903"</f>
        <v>GAB2027903</v>
      </c>
      <c r="F291" s="3">
        <v>45884</v>
      </c>
      <c r="G291">
        <v>202605</v>
      </c>
      <c r="H291" t="s">
        <v>75</v>
      </c>
      <c r="I291" t="s">
        <v>76</v>
      </c>
      <c r="J291" t="s">
        <v>77</v>
      </c>
      <c r="K291" t="s">
        <v>78</v>
      </c>
      <c r="L291" t="s">
        <v>148</v>
      </c>
      <c r="M291" t="s">
        <v>149</v>
      </c>
      <c r="N291" t="s">
        <v>150</v>
      </c>
      <c r="O291" t="s">
        <v>100</v>
      </c>
      <c r="P291" t="str">
        <f>"INV-00120189 CT096667         "</f>
        <v xml:space="preserve">INV-00120189 CT096667         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  <c r="AI291">
        <v>0</v>
      </c>
      <c r="AJ291">
        <v>0</v>
      </c>
      <c r="AK291">
        <v>0</v>
      </c>
      <c r="AL291">
        <v>0</v>
      </c>
      <c r="AM291">
        <v>0</v>
      </c>
      <c r="AN291">
        <v>0</v>
      </c>
      <c r="AO291">
        <v>0</v>
      </c>
      <c r="AP291">
        <v>0</v>
      </c>
      <c r="AQ291">
        <v>40.380000000000003</v>
      </c>
      <c r="AR291">
        <v>0</v>
      </c>
      <c r="AS291">
        <v>0</v>
      </c>
      <c r="AT291">
        <v>0</v>
      </c>
      <c r="AU291">
        <v>0</v>
      </c>
      <c r="AV291">
        <v>0</v>
      </c>
      <c r="AW291">
        <v>0</v>
      </c>
      <c r="AX291">
        <v>0</v>
      </c>
      <c r="AY291">
        <v>0</v>
      </c>
      <c r="AZ291">
        <v>0</v>
      </c>
      <c r="BA291">
        <v>0</v>
      </c>
      <c r="BB291">
        <v>0</v>
      </c>
      <c r="BC291">
        <v>0</v>
      </c>
      <c r="BD291">
        <v>0</v>
      </c>
      <c r="BE291">
        <v>0</v>
      </c>
      <c r="BF291">
        <v>0</v>
      </c>
      <c r="BG291">
        <v>0</v>
      </c>
      <c r="BH291">
        <v>2</v>
      </c>
      <c r="BI291">
        <v>2</v>
      </c>
      <c r="BJ291">
        <v>3.4</v>
      </c>
      <c r="BK291">
        <v>3.5</v>
      </c>
      <c r="BL291">
        <v>125.4</v>
      </c>
      <c r="BM291">
        <v>18.809999999999999</v>
      </c>
      <c r="BN291">
        <v>144.21</v>
      </c>
      <c r="BO291">
        <v>144.21</v>
      </c>
      <c r="BR291" t="s">
        <v>84</v>
      </c>
      <c r="BS291" s="3">
        <v>45887</v>
      </c>
      <c r="BT291" s="4">
        <v>0.36805555555555558</v>
      </c>
      <c r="BU291" t="s">
        <v>1045</v>
      </c>
      <c r="BV291" t="s">
        <v>86</v>
      </c>
      <c r="BY291">
        <v>16980.810000000001</v>
      </c>
      <c r="BZ291" t="s">
        <v>102</v>
      </c>
      <c r="CA291" t="s">
        <v>1036</v>
      </c>
      <c r="CC291" t="s">
        <v>149</v>
      </c>
      <c r="CD291">
        <v>6001</v>
      </c>
      <c r="CE291" t="s">
        <v>164</v>
      </c>
      <c r="CF291" s="3">
        <v>45887</v>
      </c>
      <c r="CI291">
        <v>2</v>
      </c>
      <c r="CJ291">
        <v>1</v>
      </c>
      <c r="CK291">
        <v>21</v>
      </c>
      <c r="CL291" t="s">
        <v>90</v>
      </c>
    </row>
    <row r="292" spans="1:90" x14ac:dyDescent="0.3">
      <c r="A292" t="s">
        <v>72</v>
      </c>
      <c r="B292" t="s">
        <v>73</v>
      </c>
      <c r="C292" t="s">
        <v>74</v>
      </c>
      <c r="E292" t="str">
        <f>"GAB2027904"</f>
        <v>GAB2027904</v>
      </c>
      <c r="F292" s="3">
        <v>45884</v>
      </c>
      <c r="G292">
        <v>202605</v>
      </c>
      <c r="H292" t="s">
        <v>75</v>
      </c>
      <c r="I292" t="s">
        <v>76</v>
      </c>
      <c r="J292" t="s">
        <v>77</v>
      </c>
      <c r="K292" t="s">
        <v>78</v>
      </c>
      <c r="L292" t="s">
        <v>908</v>
      </c>
      <c r="M292" t="s">
        <v>909</v>
      </c>
      <c r="N292" t="s">
        <v>910</v>
      </c>
      <c r="O292" t="s">
        <v>100</v>
      </c>
      <c r="P292" t="str">
        <f>"INV-00120190 CT096664         "</f>
        <v xml:space="preserve">INV-00120190 CT096664         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  <c r="AI292">
        <v>0</v>
      </c>
      <c r="AJ292">
        <v>0</v>
      </c>
      <c r="AK292">
        <v>0</v>
      </c>
      <c r="AL292">
        <v>0</v>
      </c>
      <c r="AM292">
        <v>0</v>
      </c>
      <c r="AN292">
        <v>0</v>
      </c>
      <c r="AO292">
        <v>0</v>
      </c>
      <c r="AP292">
        <v>0</v>
      </c>
      <c r="AQ292">
        <v>40.380000000000003</v>
      </c>
      <c r="AR292">
        <v>0</v>
      </c>
      <c r="AS292">
        <v>0</v>
      </c>
      <c r="AT292">
        <v>0</v>
      </c>
      <c r="AU292">
        <v>0</v>
      </c>
      <c r="AV292">
        <v>0</v>
      </c>
      <c r="AW292">
        <v>0</v>
      </c>
      <c r="AX292">
        <v>0</v>
      </c>
      <c r="AY292">
        <v>0</v>
      </c>
      <c r="AZ292">
        <v>0</v>
      </c>
      <c r="BA292">
        <v>0</v>
      </c>
      <c r="BB292">
        <v>0</v>
      </c>
      <c r="BC292">
        <v>0</v>
      </c>
      <c r="BD292">
        <v>0</v>
      </c>
      <c r="BE292">
        <v>0</v>
      </c>
      <c r="BF292">
        <v>0</v>
      </c>
      <c r="BG292">
        <v>0</v>
      </c>
      <c r="BH292">
        <v>2</v>
      </c>
      <c r="BI292">
        <v>2</v>
      </c>
      <c r="BJ292">
        <v>3.5</v>
      </c>
      <c r="BK292">
        <v>3.5</v>
      </c>
      <c r="BL292">
        <v>125.4</v>
      </c>
      <c r="BM292">
        <v>18.809999999999999</v>
      </c>
      <c r="BN292">
        <v>144.21</v>
      </c>
      <c r="BO292">
        <v>144.21</v>
      </c>
      <c r="BQ292" t="s">
        <v>1046</v>
      </c>
      <c r="BR292" t="s">
        <v>84</v>
      </c>
      <c r="BS292" s="3">
        <v>45888</v>
      </c>
      <c r="BT292" s="4">
        <v>0.37013888888888891</v>
      </c>
      <c r="BU292" t="s">
        <v>198</v>
      </c>
      <c r="BV292" t="s">
        <v>90</v>
      </c>
      <c r="BY292">
        <v>17285.28</v>
      </c>
      <c r="BZ292" t="s">
        <v>102</v>
      </c>
      <c r="CA292" t="s">
        <v>199</v>
      </c>
      <c r="CC292" t="s">
        <v>909</v>
      </c>
      <c r="CD292">
        <v>1684</v>
      </c>
      <c r="CE292" t="s">
        <v>703</v>
      </c>
      <c r="CF292" s="3">
        <v>45888</v>
      </c>
      <c r="CI292">
        <v>1</v>
      </c>
      <c r="CJ292">
        <v>2</v>
      </c>
      <c r="CK292">
        <v>21</v>
      </c>
      <c r="CL292" t="s">
        <v>90</v>
      </c>
    </row>
    <row r="293" spans="1:90" x14ac:dyDescent="0.3">
      <c r="A293" t="s">
        <v>72</v>
      </c>
      <c r="B293" t="s">
        <v>73</v>
      </c>
      <c r="C293" t="s">
        <v>74</v>
      </c>
      <c r="E293" t="str">
        <f>"GAB2027906"</f>
        <v>GAB2027906</v>
      </c>
      <c r="F293" s="3">
        <v>45884</v>
      </c>
      <c r="G293">
        <v>202605</v>
      </c>
      <c r="H293" t="s">
        <v>75</v>
      </c>
      <c r="I293" t="s">
        <v>76</v>
      </c>
      <c r="J293" t="s">
        <v>77</v>
      </c>
      <c r="K293" t="s">
        <v>78</v>
      </c>
      <c r="L293" t="s">
        <v>415</v>
      </c>
      <c r="M293" t="s">
        <v>416</v>
      </c>
      <c r="N293" t="s">
        <v>451</v>
      </c>
      <c r="O293" t="s">
        <v>100</v>
      </c>
      <c r="P293" t="str">
        <f>"INV-00038526 035495           "</f>
        <v xml:space="preserve">INV-00038526 035495           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  <c r="AI293">
        <v>0</v>
      </c>
      <c r="AJ293">
        <v>0</v>
      </c>
      <c r="AK293">
        <v>0</v>
      </c>
      <c r="AL293">
        <v>0</v>
      </c>
      <c r="AM293">
        <v>0</v>
      </c>
      <c r="AN293">
        <v>0</v>
      </c>
      <c r="AO293">
        <v>0</v>
      </c>
      <c r="AP293">
        <v>0</v>
      </c>
      <c r="AQ293">
        <v>69.22</v>
      </c>
      <c r="AR293">
        <v>0</v>
      </c>
      <c r="AS293">
        <v>0</v>
      </c>
      <c r="AT293">
        <v>0</v>
      </c>
      <c r="AU293">
        <v>0</v>
      </c>
      <c r="AV293">
        <v>0</v>
      </c>
      <c r="AW293">
        <v>0</v>
      </c>
      <c r="AX293">
        <v>0</v>
      </c>
      <c r="AY293">
        <v>0</v>
      </c>
      <c r="AZ293">
        <v>0</v>
      </c>
      <c r="BA293">
        <v>0</v>
      </c>
      <c r="BB293">
        <v>0</v>
      </c>
      <c r="BC293">
        <v>0</v>
      </c>
      <c r="BD293">
        <v>0</v>
      </c>
      <c r="BE293">
        <v>0</v>
      </c>
      <c r="BF293">
        <v>0</v>
      </c>
      <c r="BG293">
        <v>0</v>
      </c>
      <c r="BH293">
        <v>2</v>
      </c>
      <c r="BI293">
        <v>1.8</v>
      </c>
      <c r="BJ293">
        <v>5.9</v>
      </c>
      <c r="BK293">
        <v>6</v>
      </c>
      <c r="BL293">
        <v>214.94</v>
      </c>
      <c r="BM293">
        <v>32.24</v>
      </c>
      <c r="BN293">
        <v>247.18</v>
      </c>
      <c r="BO293">
        <v>247.18</v>
      </c>
      <c r="BQ293" t="s">
        <v>135</v>
      </c>
      <c r="BR293" t="s">
        <v>84</v>
      </c>
      <c r="BS293" s="3">
        <v>45887</v>
      </c>
      <c r="BT293" s="4">
        <v>0.36805555555555558</v>
      </c>
      <c r="BU293" t="s">
        <v>675</v>
      </c>
      <c r="BV293" t="s">
        <v>86</v>
      </c>
      <c r="BY293">
        <v>29477.279999999999</v>
      </c>
      <c r="BZ293" t="s">
        <v>102</v>
      </c>
      <c r="CA293" t="s">
        <v>676</v>
      </c>
      <c r="CC293" t="s">
        <v>416</v>
      </c>
      <c r="CD293">
        <v>2191</v>
      </c>
      <c r="CE293" t="s">
        <v>143</v>
      </c>
      <c r="CF293" s="3">
        <v>45887</v>
      </c>
      <c r="CI293">
        <v>1</v>
      </c>
      <c r="CJ293">
        <v>1</v>
      </c>
      <c r="CK293">
        <v>21</v>
      </c>
      <c r="CL293" t="s">
        <v>90</v>
      </c>
    </row>
    <row r="294" spans="1:90" x14ac:dyDescent="0.3">
      <c r="A294" t="s">
        <v>72</v>
      </c>
      <c r="B294" t="s">
        <v>73</v>
      </c>
      <c r="C294" t="s">
        <v>74</v>
      </c>
      <c r="E294" t="str">
        <f>"009945156781"</f>
        <v>009945156781</v>
      </c>
      <c r="F294" s="3">
        <v>45884</v>
      </c>
      <c r="G294">
        <v>202605</v>
      </c>
      <c r="H294" t="s">
        <v>79</v>
      </c>
      <c r="I294" t="s">
        <v>80</v>
      </c>
      <c r="J294" t="s">
        <v>257</v>
      </c>
      <c r="K294" t="s">
        <v>78</v>
      </c>
      <c r="L294" t="s">
        <v>75</v>
      </c>
      <c r="M294" t="s">
        <v>76</v>
      </c>
      <c r="N294" t="s">
        <v>257</v>
      </c>
      <c r="O294" t="s">
        <v>100</v>
      </c>
      <c r="P294" t="str">
        <f>"NO REF                        "</f>
        <v xml:space="preserve">NO REF                        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v>0</v>
      </c>
      <c r="AK294">
        <v>0</v>
      </c>
      <c r="AL294">
        <v>0</v>
      </c>
      <c r="AM294">
        <v>0</v>
      </c>
      <c r="AN294">
        <v>0</v>
      </c>
      <c r="AO294">
        <v>0</v>
      </c>
      <c r="AP294">
        <v>0</v>
      </c>
      <c r="AQ294">
        <v>23.09</v>
      </c>
      <c r="AR294">
        <v>0</v>
      </c>
      <c r="AS294">
        <v>0</v>
      </c>
      <c r="AT294">
        <v>0</v>
      </c>
      <c r="AU294">
        <v>0</v>
      </c>
      <c r="AV294">
        <v>0</v>
      </c>
      <c r="AW294">
        <v>0</v>
      </c>
      <c r="AX294">
        <v>0</v>
      </c>
      <c r="AY294">
        <v>0</v>
      </c>
      <c r="AZ294">
        <v>0</v>
      </c>
      <c r="BA294">
        <v>0</v>
      </c>
      <c r="BB294">
        <v>0</v>
      </c>
      <c r="BC294">
        <v>0</v>
      </c>
      <c r="BD294">
        <v>0</v>
      </c>
      <c r="BE294">
        <v>0</v>
      </c>
      <c r="BF294">
        <v>0</v>
      </c>
      <c r="BG294">
        <v>0</v>
      </c>
      <c r="BH294">
        <v>1</v>
      </c>
      <c r="BI294">
        <v>1</v>
      </c>
      <c r="BJ294">
        <v>0.2</v>
      </c>
      <c r="BK294">
        <v>1</v>
      </c>
      <c r="BL294">
        <v>71.69</v>
      </c>
      <c r="BM294">
        <v>10.75</v>
      </c>
      <c r="BN294">
        <v>82.44</v>
      </c>
      <c r="BO294">
        <v>82.44</v>
      </c>
      <c r="BQ294" t="s">
        <v>1047</v>
      </c>
      <c r="BR294" t="s">
        <v>608</v>
      </c>
      <c r="BS294" s="3">
        <v>45887</v>
      </c>
      <c r="BT294" s="4">
        <v>0.51388888888888884</v>
      </c>
      <c r="BU294" t="s">
        <v>349</v>
      </c>
      <c r="BV294" t="s">
        <v>90</v>
      </c>
      <c r="BW294" t="s">
        <v>156</v>
      </c>
      <c r="BX294" t="s">
        <v>163</v>
      </c>
      <c r="BY294">
        <v>1200</v>
      </c>
      <c r="BZ294" t="s">
        <v>102</v>
      </c>
      <c r="CA294" t="s">
        <v>351</v>
      </c>
      <c r="CC294" t="s">
        <v>76</v>
      </c>
      <c r="CD294">
        <v>7460</v>
      </c>
      <c r="CE294" t="s">
        <v>355</v>
      </c>
      <c r="CF294" s="3">
        <v>45888</v>
      </c>
      <c r="CI294">
        <v>1</v>
      </c>
      <c r="CJ294">
        <v>1</v>
      </c>
      <c r="CK294">
        <v>21</v>
      </c>
      <c r="CL294" t="s">
        <v>90</v>
      </c>
    </row>
    <row r="295" spans="1:90" x14ac:dyDescent="0.3">
      <c r="A295" t="s">
        <v>72</v>
      </c>
      <c r="B295" t="s">
        <v>73</v>
      </c>
      <c r="C295" t="s">
        <v>74</v>
      </c>
      <c r="E295" t="str">
        <f>"RR009945156762"</f>
        <v>RR009945156762</v>
      </c>
      <c r="F295" s="3">
        <v>45881</v>
      </c>
      <c r="G295">
        <v>202605</v>
      </c>
      <c r="H295" t="s">
        <v>148</v>
      </c>
      <c r="I295" t="s">
        <v>149</v>
      </c>
      <c r="J295" t="s">
        <v>705</v>
      </c>
      <c r="K295" t="s">
        <v>78</v>
      </c>
      <c r="L295" t="s">
        <v>190</v>
      </c>
      <c r="M295" t="s">
        <v>191</v>
      </c>
      <c r="N295" t="s">
        <v>1048</v>
      </c>
      <c r="O295" t="s">
        <v>100</v>
      </c>
      <c r="P295" t="str">
        <f>"NO REF                        "</f>
        <v xml:space="preserve">NO REF                        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0</v>
      </c>
      <c r="AJ295">
        <v>0</v>
      </c>
      <c r="AK295">
        <v>0</v>
      </c>
      <c r="AL295">
        <v>0</v>
      </c>
      <c r="AM295">
        <v>0</v>
      </c>
      <c r="AN295">
        <v>0</v>
      </c>
      <c r="AO295">
        <v>0</v>
      </c>
      <c r="AP295">
        <v>0</v>
      </c>
      <c r="AQ295">
        <v>46.15</v>
      </c>
      <c r="AR295">
        <v>0</v>
      </c>
      <c r="AS295">
        <v>0</v>
      </c>
      <c r="AT295">
        <v>0</v>
      </c>
      <c r="AU295">
        <v>0</v>
      </c>
      <c r="AV295">
        <v>0</v>
      </c>
      <c r="AW295">
        <v>0</v>
      </c>
      <c r="AX295">
        <v>0</v>
      </c>
      <c r="AY295">
        <v>0</v>
      </c>
      <c r="AZ295">
        <v>0</v>
      </c>
      <c r="BA295">
        <v>0</v>
      </c>
      <c r="BB295">
        <v>0</v>
      </c>
      <c r="BC295">
        <v>0</v>
      </c>
      <c r="BD295">
        <v>0</v>
      </c>
      <c r="BE295">
        <v>0</v>
      </c>
      <c r="BF295">
        <v>0</v>
      </c>
      <c r="BG295">
        <v>0</v>
      </c>
      <c r="BH295">
        <v>1</v>
      </c>
      <c r="BI295">
        <v>3.6</v>
      </c>
      <c r="BJ295">
        <v>2.4</v>
      </c>
      <c r="BK295">
        <v>4</v>
      </c>
      <c r="BL295">
        <v>143.31</v>
      </c>
      <c r="BM295">
        <v>21.5</v>
      </c>
      <c r="BN295">
        <v>164.81</v>
      </c>
      <c r="BO295">
        <v>164.81</v>
      </c>
      <c r="BQ295" t="s">
        <v>1049</v>
      </c>
      <c r="BR295" s="5" t="s">
        <v>706</v>
      </c>
      <c r="BS295" s="3">
        <v>45882</v>
      </c>
      <c r="BT295" s="4">
        <v>0.43125000000000002</v>
      </c>
      <c r="BU295" t="s">
        <v>1050</v>
      </c>
      <c r="BV295" t="s">
        <v>86</v>
      </c>
      <c r="BY295">
        <v>12150</v>
      </c>
      <c r="BZ295" t="s">
        <v>102</v>
      </c>
      <c r="CA295" t="s">
        <v>1051</v>
      </c>
      <c r="CC295" t="s">
        <v>191</v>
      </c>
      <c r="CD295" s="5" t="s">
        <v>1052</v>
      </c>
      <c r="CE295" t="s">
        <v>355</v>
      </c>
      <c r="CF295" s="3">
        <v>45882</v>
      </c>
      <c r="CI295">
        <v>1</v>
      </c>
      <c r="CJ295">
        <v>1</v>
      </c>
      <c r="CK295">
        <v>21</v>
      </c>
      <c r="CL295" t="s">
        <v>90</v>
      </c>
    </row>
    <row r="296" spans="1:90" x14ac:dyDescent="0.3">
      <c r="A296" t="s">
        <v>72</v>
      </c>
      <c r="B296" t="s">
        <v>73</v>
      </c>
      <c r="C296" t="s">
        <v>74</v>
      </c>
      <c r="E296" t="str">
        <f>"GAB2027914"</f>
        <v>GAB2027914</v>
      </c>
      <c r="F296" s="3">
        <v>45887</v>
      </c>
      <c r="G296">
        <v>202605</v>
      </c>
      <c r="H296" t="s">
        <v>75</v>
      </c>
      <c r="I296" t="s">
        <v>76</v>
      </c>
      <c r="J296" t="s">
        <v>77</v>
      </c>
      <c r="K296" t="s">
        <v>78</v>
      </c>
      <c r="L296" t="s">
        <v>1053</v>
      </c>
      <c r="M296" t="s">
        <v>1054</v>
      </c>
      <c r="N296" t="s">
        <v>1055</v>
      </c>
      <c r="O296" t="s">
        <v>82</v>
      </c>
      <c r="P296" t="str">
        <f>"00120211 096629               "</f>
        <v xml:space="preserve">00120211 096629               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5.87</v>
      </c>
      <c r="AH296">
        <v>0</v>
      </c>
      <c r="AI296">
        <v>0</v>
      </c>
      <c r="AJ296">
        <v>0</v>
      </c>
      <c r="AK296">
        <v>0</v>
      </c>
      <c r="AL296">
        <v>0</v>
      </c>
      <c r="AM296">
        <v>0</v>
      </c>
      <c r="AN296">
        <v>0</v>
      </c>
      <c r="AO296">
        <v>0</v>
      </c>
      <c r="AP296">
        <v>0</v>
      </c>
      <c r="AQ296">
        <v>82.26</v>
      </c>
      <c r="AR296">
        <v>0</v>
      </c>
      <c r="AS296">
        <v>0</v>
      </c>
      <c r="AT296">
        <v>0</v>
      </c>
      <c r="AU296">
        <v>0</v>
      </c>
      <c r="AV296">
        <v>0</v>
      </c>
      <c r="AW296">
        <v>0</v>
      </c>
      <c r="AX296">
        <v>0</v>
      </c>
      <c r="AY296">
        <v>0</v>
      </c>
      <c r="AZ296">
        <v>0</v>
      </c>
      <c r="BA296">
        <v>0</v>
      </c>
      <c r="BB296">
        <v>0</v>
      </c>
      <c r="BC296">
        <v>0</v>
      </c>
      <c r="BD296">
        <v>0</v>
      </c>
      <c r="BE296">
        <v>0</v>
      </c>
      <c r="BF296">
        <v>0</v>
      </c>
      <c r="BG296">
        <v>0</v>
      </c>
      <c r="BH296">
        <v>2</v>
      </c>
      <c r="BI296">
        <v>9.4</v>
      </c>
      <c r="BJ296">
        <v>20.2</v>
      </c>
      <c r="BK296">
        <v>21</v>
      </c>
      <c r="BL296">
        <v>261.3</v>
      </c>
      <c r="BM296">
        <v>39.200000000000003</v>
      </c>
      <c r="BN296">
        <v>300.5</v>
      </c>
      <c r="BO296">
        <v>300.5</v>
      </c>
      <c r="BQ296" t="s">
        <v>1056</v>
      </c>
      <c r="BR296" t="s">
        <v>84</v>
      </c>
      <c r="BS296" s="3">
        <v>45890</v>
      </c>
      <c r="BT296" s="4">
        <v>0.37708333333333333</v>
      </c>
      <c r="BU296" t="s">
        <v>1057</v>
      </c>
      <c r="BV296" t="s">
        <v>86</v>
      </c>
      <c r="BY296">
        <v>100800</v>
      </c>
      <c r="CA296" t="s">
        <v>1058</v>
      </c>
      <c r="CC296" t="s">
        <v>1054</v>
      </c>
      <c r="CD296">
        <v>3867</v>
      </c>
      <c r="CE296" t="s">
        <v>775</v>
      </c>
      <c r="CF296" s="3">
        <v>45890</v>
      </c>
      <c r="CI296">
        <v>8</v>
      </c>
      <c r="CJ296">
        <v>3</v>
      </c>
      <c r="CK296">
        <v>43</v>
      </c>
      <c r="CL296" t="s">
        <v>90</v>
      </c>
    </row>
    <row r="297" spans="1:90" x14ac:dyDescent="0.3">
      <c r="A297" t="s">
        <v>72</v>
      </c>
      <c r="B297" t="s">
        <v>73</v>
      </c>
      <c r="C297" t="s">
        <v>74</v>
      </c>
      <c r="E297" t="str">
        <f>"GAB2027925"</f>
        <v>GAB2027925</v>
      </c>
      <c r="F297" s="3">
        <v>45887</v>
      </c>
      <c r="G297">
        <v>202605</v>
      </c>
      <c r="H297" t="s">
        <v>75</v>
      </c>
      <c r="I297" t="s">
        <v>76</v>
      </c>
      <c r="J297" t="s">
        <v>77</v>
      </c>
      <c r="K297" t="s">
        <v>78</v>
      </c>
      <c r="L297" t="s">
        <v>91</v>
      </c>
      <c r="M297" t="s">
        <v>92</v>
      </c>
      <c r="N297" t="s">
        <v>1059</v>
      </c>
      <c r="O297" t="s">
        <v>82</v>
      </c>
      <c r="P297" t="str">
        <f>"00120221 096691               "</f>
        <v xml:space="preserve">00120221 096691               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5.87</v>
      </c>
      <c r="AH297">
        <v>0</v>
      </c>
      <c r="AI297">
        <v>0</v>
      </c>
      <c r="AJ297">
        <v>0</v>
      </c>
      <c r="AK297">
        <v>0</v>
      </c>
      <c r="AL297">
        <v>0</v>
      </c>
      <c r="AM297">
        <v>0</v>
      </c>
      <c r="AN297">
        <v>0</v>
      </c>
      <c r="AO297">
        <v>0</v>
      </c>
      <c r="AP297">
        <v>0</v>
      </c>
      <c r="AQ297">
        <v>75.97</v>
      </c>
      <c r="AR297">
        <v>0</v>
      </c>
      <c r="AS297">
        <v>0</v>
      </c>
      <c r="AT297">
        <v>0</v>
      </c>
      <c r="AU297">
        <v>0</v>
      </c>
      <c r="AV297">
        <v>0</v>
      </c>
      <c r="AW297">
        <v>0</v>
      </c>
      <c r="AX297">
        <v>0</v>
      </c>
      <c r="AY297">
        <v>0</v>
      </c>
      <c r="AZ297">
        <v>0</v>
      </c>
      <c r="BA297">
        <v>0</v>
      </c>
      <c r="BB297">
        <v>0</v>
      </c>
      <c r="BC297">
        <v>0</v>
      </c>
      <c r="BD297">
        <v>0</v>
      </c>
      <c r="BE297">
        <v>0</v>
      </c>
      <c r="BF297">
        <v>0</v>
      </c>
      <c r="BG297">
        <v>0</v>
      </c>
      <c r="BH297">
        <v>4</v>
      </c>
      <c r="BI297">
        <v>11</v>
      </c>
      <c r="BJ297">
        <v>31.4</v>
      </c>
      <c r="BK297">
        <v>32</v>
      </c>
      <c r="BL297">
        <v>241.78</v>
      </c>
      <c r="BM297">
        <v>36.270000000000003</v>
      </c>
      <c r="BN297">
        <v>278.05</v>
      </c>
      <c r="BO297">
        <v>278.05</v>
      </c>
      <c r="BQ297" t="s">
        <v>1060</v>
      </c>
      <c r="BR297" t="s">
        <v>84</v>
      </c>
      <c r="BS297" s="3">
        <v>45890</v>
      </c>
      <c r="BT297" s="4">
        <v>0.5444444444444444</v>
      </c>
      <c r="BU297" t="s">
        <v>1061</v>
      </c>
      <c r="BV297" t="s">
        <v>86</v>
      </c>
      <c r="BY297">
        <v>156772.71</v>
      </c>
      <c r="CA297" t="s">
        <v>1062</v>
      </c>
      <c r="CC297" t="s">
        <v>92</v>
      </c>
      <c r="CD297">
        <v>4030</v>
      </c>
      <c r="CE297" t="s">
        <v>493</v>
      </c>
      <c r="CF297" s="3">
        <v>45890</v>
      </c>
      <c r="CI297">
        <v>3</v>
      </c>
      <c r="CJ297">
        <v>3</v>
      </c>
      <c r="CK297">
        <v>41</v>
      </c>
      <c r="CL297" t="s">
        <v>90</v>
      </c>
    </row>
    <row r="298" spans="1:90" x14ac:dyDescent="0.3">
      <c r="A298" t="s">
        <v>72</v>
      </c>
      <c r="B298" t="s">
        <v>73</v>
      </c>
      <c r="C298" t="s">
        <v>74</v>
      </c>
      <c r="E298" t="str">
        <f>"GAB2027926"</f>
        <v>GAB2027926</v>
      </c>
      <c r="F298" s="3">
        <v>45887</v>
      </c>
      <c r="G298">
        <v>202605</v>
      </c>
      <c r="H298" t="s">
        <v>75</v>
      </c>
      <c r="I298" t="s">
        <v>76</v>
      </c>
      <c r="J298" t="s">
        <v>77</v>
      </c>
      <c r="K298" t="s">
        <v>78</v>
      </c>
      <c r="L298" t="s">
        <v>91</v>
      </c>
      <c r="M298" t="s">
        <v>92</v>
      </c>
      <c r="N298" t="s">
        <v>779</v>
      </c>
      <c r="O298" t="s">
        <v>82</v>
      </c>
      <c r="P298" t="str">
        <f>"00120223 096688               "</f>
        <v xml:space="preserve">00120223 096688               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5.87</v>
      </c>
      <c r="AH298">
        <v>0</v>
      </c>
      <c r="AI298">
        <v>0</v>
      </c>
      <c r="AJ298">
        <v>0</v>
      </c>
      <c r="AK298">
        <v>0</v>
      </c>
      <c r="AL298">
        <v>0</v>
      </c>
      <c r="AM298">
        <v>0</v>
      </c>
      <c r="AN298">
        <v>0</v>
      </c>
      <c r="AO298">
        <v>0</v>
      </c>
      <c r="AP298">
        <v>0</v>
      </c>
      <c r="AQ298">
        <v>114.67</v>
      </c>
      <c r="AR298">
        <v>0</v>
      </c>
      <c r="AS298">
        <v>0</v>
      </c>
      <c r="AT298">
        <v>0</v>
      </c>
      <c r="AU298">
        <v>0</v>
      </c>
      <c r="AV298">
        <v>0</v>
      </c>
      <c r="AW298">
        <v>0</v>
      </c>
      <c r="AX298">
        <v>0</v>
      </c>
      <c r="AY298">
        <v>0</v>
      </c>
      <c r="AZ298">
        <v>0</v>
      </c>
      <c r="BA298">
        <v>0</v>
      </c>
      <c r="BB298">
        <v>0</v>
      </c>
      <c r="BC298">
        <v>0</v>
      </c>
      <c r="BD298">
        <v>0</v>
      </c>
      <c r="BE298">
        <v>0</v>
      </c>
      <c r="BF298">
        <v>0</v>
      </c>
      <c r="BG298">
        <v>0</v>
      </c>
      <c r="BH298">
        <v>4</v>
      </c>
      <c r="BI298">
        <v>18.7</v>
      </c>
      <c r="BJ298">
        <v>52.5</v>
      </c>
      <c r="BK298">
        <v>53</v>
      </c>
      <c r="BL298">
        <v>361.96</v>
      </c>
      <c r="BM298">
        <v>54.29</v>
      </c>
      <c r="BN298">
        <v>416.25</v>
      </c>
      <c r="BO298">
        <v>416.25</v>
      </c>
      <c r="BQ298" t="s">
        <v>452</v>
      </c>
      <c r="BR298" t="s">
        <v>84</v>
      </c>
      <c r="BS298" s="3">
        <v>45891</v>
      </c>
      <c r="BT298" s="4">
        <v>0.53125</v>
      </c>
      <c r="BU298" t="s">
        <v>1063</v>
      </c>
      <c r="BV298" t="s">
        <v>90</v>
      </c>
      <c r="BW298" t="s">
        <v>294</v>
      </c>
      <c r="BX298" t="s">
        <v>432</v>
      </c>
      <c r="BY298">
        <v>198120.75</v>
      </c>
      <c r="CC298" t="s">
        <v>92</v>
      </c>
      <c r="CD298">
        <v>4001</v>
      </c>
      <c r="CE298" t="s">
        <v>493</v>
      </c>
      <c r="CF298" s="3">
        <v>45891</v>
      </c>
      <c r="CI298">
        <v>3</v>
      </c>
      <c r="CJ298">
        <v>4</v>
      </c>
      <c r="CK298">
        <v>41</v>
      </c>
      <c r="CL298" t="s">
        <v>90</v>
      </c>
    </row>
    <row r="299" spans="1:90" x14ac:dyDescent="0.3">
      <c r="A299" t="s">
        <v>72</v>
      </c>
      <c r="B299" t="s">
        <v>73</v>
      </c>
      <c r="C299" t="s">
        <v>74</v>
      </c>
      <c r="E299" t="str">
        <f>"GAB2027927"</f>
        <v>GAB2027927</v>
      </c>
      <c r="F299" s="3">
        <v>45887</v>
      </c>
      <c r="G299">
        <v>202605</v>
      </c>
      <c r="H299" t="s">
        <v>75</v>
      </c>
      <c r="I299" t="s">
        <v>76</v>
      </c>
      <c r="J299" t="s">
        <v>77</v>
      </c>
      <c r="K299" t="s">
        <v>78</v>
      </c>
      <c r="L299" t="s">
        <v>190</v>
      </c>
      <c r="M299" t="s">
        <v>191</v>
      </c>
      <c r="N299" t="s">
        <v>257</v>
      </c>
      <c r="O299" t="s">
        <v>82</v>
      </c>
      <c r="P299" t="str">
        <f>"00120224 096474               "</f>
        <v xml:space="preserve">00120224 096474               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5.87</v>
      </c>
      <c r="AH299">
        <v>0</v>
      </c>
      <c r="AI299">
        <v>0</v>
      </c>
      <c r="AJ299">
        <v>0</v>
      </c>
      <c r="AK299">
        <v>0</v>
      </c>
      <c r="AL299">
        <v>0</v>
      </c>
      <c r="AM299">
        <v>0</v>
      </c>
      <c r="AN299">
        <v>0</v>
      </c>
      <c r="AO299">
        <v>0</v>
      </c>
      <c r="AP299">
        <v>0</v>
      </c>
      <c r="AQ299">
        <v>53.86</v>
      </c>
      <c r="AR299">
        <v>0</v>
      </c>
      <c r="AS299">
        <v>0</v>
      </c>
      <c r="AT299">
        <v>0</v>
      </c>
      <c r="AU299">
        <v>0</v>
      </c>
      <c r="AV299">
        <v>0</v>
      </c>
      <c r="AW299">
        <v>0</v>
      </c>
      <c r="AX299">
        <v>0</v>
      </c>
      <c r="AY299">
        <v>0</v>
      </c>
      <c r="AZ299">
        <v>0</v>
      </c>
      <c r="BA299">
        <v>0</v>
      </c>
      <c r="BB299">
        <v>0</v>
      </c>
      <c r="BC299">
        <v>0</v>
      </c>
      <c r="BD299">
        <v>0</v>
      </c>
      <c r="BE299">
        <v>0</v>
      </c>
      <c r="BF299">
        <v>0</v>
      </c>
      <c r="BG299">
        <v>0</v>
      </c>
      <c r="BH299">
        <v>2</v>
      </c>
      <c r="BI299">
        <v>19.8</v>
      </c>
      <c r="BJ299">
        <v>14.1</v>
      </c>
      <c r="BK299">
        <v>20</v>
      </c>
      <c r="BL299">
        <v>173.11</v>
      </c>
      <c r="BM299">
        <v>25.97</v>
      </c>
      <c r="BN299">
        <v>199.08</v>
      </c>
      <c r="BO299">
        <v>199.08</v>
      </c>
      <c r="BQ299" t="s">
        <v>593</v>
      </c>
      <c r="BR299" t="s">
        <v>84</v>
      </c>
      <c r="BS299" s="3">
        <v>45889</v>
      </c>
      <c r="BT299" s="4">
        <v>0.38680555555555557</v>
      </c>
      <c r="BU299" t="s">
        <v>1064</v>
      </c>
      <c r="BV299" t="s">
        <v>86</v>
      </c>
      <c r="BY299">
        <v>70317.38</v>
      </c>
      <c r="CA299" t="s">
        <v>1065</v>
      </c>
      <c r="CC299" t="s">
        <v>191</v>
      </c>
      <c r="CD299" s="5" t="s">
        <v>196</v>
      </c>
      <c r="CE299" t="s">
        <v>396</v>
      </c>
      <c r="CF299" s="3">
        <v>45889</v>
      </c>
      <c r="CI299">
        <v>3</v>
      </c>
      <c r="CJ299">
        <v>2</v>
      </c>
      <c r="CK299">
        <v>41</v>
      </c>
      <c r="CL299" t="s">
        <v>90</v>
      </c>
    </row>
    <row r="300" spans="1:90" x14ac:dyDescent="0.3">
      <c r="A300" t="s">
        <v>72</v>
      </c>
      <c r="B300" t="s">
        <v>73</v>
      </c>
      <c r="C300" t="s">
        <v>74</v>
      </c>
      <c r="E300" t="str">
        <f>"GAB2027928"</f>
        <v>GAB2027928</v>
      </c>
      <c r="F300" s="3">
        <v>45887</v>
      </c>
      <c r="G300">
        <v>202605</v>
      </c>
      <c r="H300" t="s">
        <v>75</v>
      </c>
      <c r="I300" t="s">
        <v>76</v>
      </c>
      <c r="J300" t="s">
        <v>77</v>
      </c>
      <c r="K300" t="s">
        <v>78</v>
      </c>
      <c r="L300" t="s">
        <v>345</v>
      </c>
      <c r="M300" t="s">
        <v>346</v>
      </c>
      <c r="N300" t="s">
        <v>1066</v>
      </c>
      <c r="O300" t="s">
        <v>82</v>
      </c>
      <c r="P300" t="str">
        <f>"00120225 096693               "</f>
        <v xml:space="preserve">00120225 096693               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5.87</v>
      </c>
      <c r="AH300">
        <v>0</v>
      </c>
      <c r="AI300">
        <v>0</v>
      </c>
      <c r="AJ300">
        <v>0</v>
      </c>
      <c r="AK300">
        <v>0</v>
      </c>
      <c r="AL300">
        <v>0</v>
      </c>
      <c r="AM300">
        <v>0</v>
      </c>
      <c r="AN300">
        <v>0</v>
      </c>
      <c r="AO300">
        <v>0</v>
      </c>
      <c r="AP300">
        <v>0</v>
      </c>
      <c r="AQ300">
        <v>63.07</v>
      </c>
      <c r="AR300">
        <v>0</v>
      </c>
      <c r="AS300">
        <v>0</v>
      </c>
      <c r="AT300">
        <v>0</v>
      </c>
      <c r="AU300">
        <v>0</v>
      </c>
      <c r="AV300">
        <v>0</v>
      </c>
      <c r="AW300">
        <v>0</v>
      </c>
      <c r="AX300">
        <v>0</v>
      </c>
      <c r="AY300">
        <v>0</v>
      </c>
      <c r="AZ300">
        <v>0</v>
      </c>
      <c r="BA300">
        <v>0</v>
      </c>
      <c r="BB300">
        <v>0</v>
      </c>
      <c r="BC300">
        <v>0</v>
      </c>
      <c r="BD300">
        <v>0</v>
      </c>
      <c r="BE300">
        <v>0</v>
      </c>
      <c r="BF300">
        <v>0</v>
      </c>
      <c r="BG300">
        <v>0</v>
      </c>
      <c r="BH300">
        <v>2</v>
      </c>
      <c r="BI300">
        <v>14.6</v>
      </c>
      <c r="BJ300">
        <v>24.1</v>
      </c>
      <c r="BK300">
        <v>25</v>
      </c>
      <c r="BL300">
        <v>201.72</v>
      </c>
      <c r="BM300">
        <v>30.26</v>
      </c>
      <c r="BN300">
        <v>231.98</v>
      </c>
      <c r="BO300">
        <v>231.98</v>
      </c>
      <c r="BQ300" t="s">
        <v>168</v>
      </c>
      <c r="BR300" t="s">
        <v>84</v>
      </c>
      <c r="BS300" s="3">
        <v>45896</v>
      </c>
      <c r="BT300" s="4">
        <v>0.58333333333333337</v>
      </c>
      <c r="BU300" t="s">
        <v>1067</v>
      </c>
      <c r="BV300" t="s">
        <v>90</v>
      </c>
      <c r="BW300" t="s">
        <v>589</v>
      </c>
      <c r="BX300" t="s">
        <v>600</v>
      </c>
      <c r="BY300">
        <v>120338.56</v>
      </c>
      <c r="CC300" t="s">
        <v>346</v>
      </c>
      <c r="CD300">
        <v>9301</v>
      </c>
      <c r="CE300" t="s">
        <v>171</v>
      </c>
      <c r="CF300" s="3">
        <v>45897</v>
      </c>
      <c r="CI300">
        <v>4</v>
      </c>
      <c r="CJ300">
        <v>7</v>
      </c>
      <c r="CK300">
        <v>41</v>
      </c>
      <c r="CL300" t="s">
        <v>90</v>
      </c>
    </row>
    <row r="301" spans="1:90" x14ac:dyDescent="0.3">
      <c r="A301" t="s">
        <v>72</v>
      </c>
      <c r="B301" t="s">
        <v>73</v>
      </c>
      <c r="C301" t="s">
        <v>74</v>
      </c>
      <c r="E301" t="str">
        <f>"GAB2027911"</f>
        <v>GAB2027911</v>
      </c>
      <c r="F301" s="3">
        <v>45887</v>
      </c>
      <c r="G301">
        <v>202605</v>
      </c>
      <c r="H301" t="s">
        <v>75</v>
      </c>
      <c r="I301" t="s">
        <v>76</v>
      </c>
      <c r="J301" t="s">
        <v>77</v>
      </c>
      <c r="K301" t="s">
        <v>78</v>
      </c>
      <c r="L301" t="s">
        <v>79</v>
      </c>
      <c r="M301" t="s">
        <v>80</v>
      </c>
      <c r="N301" t="s">
        <v>1068</v>
      </c>
      <c r="O301" t="s">
        <v>100</v>
      </c>
      <c r="P301" t="str">
        <f>"00038538 035511               "</f>
        <v xml:space="preserve">00038538 035511               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  <c r="AI301">
        <v>0</v>
      </c>
      <c r="AJ301">
        <v>0</v>
      </c>
      <c r="AK301">
        <v>0</v>
      </c>
      <c r="AL301">
        <v>0</v>
      </c>
      <c r="AM301">
        <v>0</v>
      </c>
      <c r="AN301">
        <v>0</v>
      </c>
      <c r="AO301">
        <v>0</v>
      </c>
      <c r="AP301">
        <v>0</v>
      </c>
      <c r="AQ301">
        <v>46.15</v>
      </c>
      <c r="AR301">
        <v>0</v>
      </c>
      <c r="AS301">
        <v>0</v>
      </c>
      <c r="AT301">
        <v>0</v>
      </c>
      <c r="AU301">
        <v>0</v>
      </c>
      <c r="AV301">
        <v>0</v>
      </c>
      <c r="AW301">
        <v>0</v>
      </c>
      <c r="AX301">
        <v>0</v>
      </c>
      <c r="AY301">
        <v>0</v>
      </c>
      <c r="AZ301">
        <v>0</v>
      </c>
      <c r="BA301">
        <v>0</v>
      </c>
      <c r="BB301">
        <v>0</v>
      </c>
      <c r="BC301">
        <v>0</v>
      </c>
      <c r="BD301">
        <v>0</v>
      </c>
      <c r="BE301">
        <v>0</v>
      </c>
      <c r="BF301">
        <v>0</v>
      </c>
      <c r="BG301">
        <v>0</v>
      </c>
      <c r="BH301">
        <v>2</v>
      </c>
      <c r="BI301">
        <v>1.2</v>
      </c>
      <c r="BJ301">
        <v>3.6</v>
      </c>
      <c r="BK301">
        <v>4</v>
      </c>
      <c r="BL301">
        <v>143.31</v>
      </c>
      <c r="BM301">
        <v>21.5</v>
      </c>
      <c r="BN301">
        <v>164.81</v>
      </c>
      <c r="BO301">
        <v>164.81</v>
      </c>
      <c r="BQ301" t="s">
        <v>1069</v>
      </c>
      <c r="BR301" t="s">
        <v>84</v>
      </c>
      <c r="BS301" s="3">
        <v>45889</v>
      </c>
      <c r="BT301" s="4">
        <v>0.33888888888888891</v>
      </c>
      <c r="BU301" t="s">
        <v>1070</v>
      </c>
      <c r="BV301" t="s">
        <v>90</v>
      </c>
      <c r="BW301" t="s">
        <v>589</v>
      </c>
      <c r="BX301" t="s">
        <v>1071</v>
      </c>
      <c r="BY301">
        <v>17971.8</v>
      </c>
      <c r="BZ301" t="s">
        <v>102</v>
      </c>
      <c r="CA301" t="s">
        <v>1072</v>
      </c>
      <c r="CC301" t="s">
        <v>80</v>
      </c>
      <c r="CD301" s="5" t="s">
        <v>237</v>
      </c>
      <c r="CE301" t="s">
        <v>817</v>
      </c>
      <c r="CF301" s="3">
        <v>45889</v>
      </c>
      <c r="CI301">
        <v>1</v>
      </c>
      <c r="CJ301">
        <v>2</v>
      </c>
      <c r="CK301">
        <v>21</v>
      </c>
      <c r="CL301" t="s">
        <v>90</v>
      </c>
    </row>
    <row r="302" spans="1:90" x14ac:dyDescent="0.3">
      <c r="A302" t="s">
        <v>72</v>
      </c>
      <c r="B302" t="s">
        <v>73</v>
      </c>
      <c r="C302" t="s">
        <v>74</v>
      </c>
      <c r="E302" t="str">
        <f>"GAB2027912"</f>
        <v>GAB2027912</v>
      </c>
      <c r="F302" s="3">
        <v>45887</v>
      </c>
      <c r="G302">
        <v>202605</v>
      </c>
      <c r="H302" t="s">
        <v>75</v>
      </c>
      <c r="I302" t="s">
        <v>76</v>
      </c>
      <c r="J302" t="s">
        <v>77</v>
      </c>
      <c r="K302" t="s">
        <v>78</v>
      </c>
      <c r="L302" t="s">
        <v>159</v>
      </c>
      <c r="M302" t="s">
        <v>159</v>
      </c>
      <c r="N302" t="s">
        <v>269</v>
      </c>
      <c r="O302" t="s">
        <v>100</v>
      </c>
      <c r="P302" t="str">
        <f>"00120205 096675               "</f>
        <v xml:space="preserve">00120205 096675               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  <c r="AI302">
        <v>0</v>
      </c>
      <c r="AJ302">
        <v>0</v>
      </c>
      <c r="AK302">
        <v>0</v>
      </c>
      <c r="AL302">
        <v>0</v>
      </c>
      <c r="AM302">
        <v>0</v>
      </c>
      <c r="AN302">
        <v>0</v>
      </c>
      <c r="AO302">
        <v>0</v>
      </c>
      <c r="AP302">
        <v>0</v>
      </c>
      <c r="AQ302">
        <v>87.79</v>
      </c>
      <c r="AR302">
        <v>0</v>
      </c>
      <c r="AS302">
        <v>0</v>
      </c>
      <c r="AT302">
        <v>0</v>
      </c>
      <c r="AU302">
        <v>0</v>
      </c>
      <c r="AV302">
        <v>0</v>
      </c>
      <c r="AW302">
        <v>0</v>
      </c>
      <c r="AX302">
        <v>0</v>
      </c>
      <c r="AY302">
        <v>0</v>
      </c>
      <c r="AZ302">
        <v>0</v>
      </c>
      <c r="BA302">
        <v>0</v>
      </c>
      <c r="BB302">
        <v>0</v>
      </c>
      <c r="BC302">
        <v>0</v>
      </c>
      <c r="BD302">
        <v>0</v>
      </c>
      <c r="BE302">
        <v>0</v>
      </c>
      <c r="BF302">
        <v>0</v>
      </c>
      <c r="BG302">
        <v>0</v>
      </c>
      <c r="BH302">
        <v>2</v>
      </c>
      <c r="BI302">
        <v>1.2</v>
      </c>
      <c r="BJ302">
        <v>5.0999999999999996</v>
      </c>
      <c r="BK302">
        <v>5.5</v>
      </c>
      <c r="BL302">
        <v>272.62</v>
      </c>
      <c r="BM302">
        <v>40.89</v>
      </c>
      <c r="BN302">
        <v>313.51</v>
      </c>
      <c r="BO302">
        <v>313.51</v>
      </c>
      <c r="BQ302" t="s">
        <v>1073</v>
      </c>
      <c r="BR302" t="s">
        <v>84</v>
      </c>
      <c r="BS302" s="3">
        <v>45888</v>
      </c>
      <c r="BT302" s="4">
        <v>0.53611111111111109</v>
      </c>
      <c r="BU302" t="s">
        <v>916</v>
      </c>
      <c r="BV302" t="s">
        <v>86</v>
      </c>
      <c r="BY302">
        <v>25316.1</v>
      </c>
      <c r="BZ302" t="s">
        <v>102</v>
      </c>
      <c r="CA302" t="s">
        <v>272</v>
      </c>
      <c r="CC302" t="s">
        <v>159</v>
      </c>
      <c r="CD302">
        <v>7646</v>
      </c>
      <c r="CE302" t="s">
        <v>403</v>
      </c>
      <c r="CF302" s="3">
        <v>45889</v>
      </c>
      <c r="CI302">
        <v>1</v>
      </c>
      <c r="CJ302">
        <v>1</v>
      </c>
      <c r="CK302">
        <v>24</v>
      </c>
      <c r="CL302" t="s">
        <v>90</v>
      </c>
    </row>
    <row r="303" spans="1:90" x14ac:dyDescent="0.3">
      <c r="A303" t="s">
        <v>72</v>
      </c>
      <c r="B303" t="s">
        <v>73</v>
      </c>
      <c r="C303" t="s">
        <v>74</v>
      </c>
      <c r="E303" t="str">
        <f>"GAB2027913"</f>
        <v>GAB2027913</v>
      </c>
      <c r="F303" s="3">
        <v>45887</v>
      </c>
      <c r="G303">
        <v>202605</v>
      </c>
      <c r="H303" t="s">
        <v>75</v>
      </c>
      <c r="I303" t="s">
        <v>76</v>
      </c>
      <c r="J303" t="s">
        <v>77</v>
      </c>
      <c r="K303" t="s">
        <v>78</v>
      </c>
      <c r="L303" t="s">
        <v>693</v>
      </c>
      <c r="M303" t="s">
        <v>694</v>
      </c>
      <c r="N303" t="s">
        <v>695</v>
      </c>
      <c r="O303" t="s">
        <v>100</v>
      </c>
      <c r="P303" t="str">
        <f>"00120200 096669               "</f>
        <v xml:space="preserve">00120200 096669               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  <c r="AI303">
        <v>0</v>
      </c>
      <c r="AJ303">
        <v>0</v>
      </c>
      <c r="AK303">
        <v>0</v>
      </c>
      <c r="AL303">
        <v>0</v>
      </c>
      <c r="AM303">
        <v>0</v>
      </c>
      <c r="AN303">
        <v>0</v>
      </c>
      <c r="AO303">
        <v>0</v>
      </c>
      <c r="AP303">
        <v>0</v>
      </c>
      <c r="AQ303">
        <v>145.71</v>
      </c>
      <c r="AR303">
        <v>0</v>
      </c>
      <c r="AS303">
        <v>0</v>
      </c>
      <c r="AT303">
        <v>0</v>
      </c>
      <c r="AU303">
        <v>0</v>
      </c>
      <c r="AV303">
        <v>0</v>
      </c>
      <c r="AW303">
        <v>0</v>
      </c>
      <c r="AX303">
        <v>0</v>
      </c>
      <c r="AY303">
        <v>0</v>
      </c>
      <c r="AZ303">
        <v>0</v>
      </c>
      <c r="BA303">
        <v>0</v>
      </c>
      <c r="BB303">
        <v>0</v>
      </c>
      <c r="BC303">
        <v>0</v>
      </c>
      <c r="BD303">
        <v>0</v>
      </c>
      <c r="BE303">
        <v>0</v>
      </c>
      <c r="BF303">
        <v>0</v>
      </c>
      <c r="BG303">
        <v>0</v>
      </c>
      <c r="BH303">
        <v>2</v>
      </c>
      <c r="BI303">
        <v>1.3</v>
      </c>
      <c r="BJ303">
        <v>6.6</v>
      </c>
      <c r="BK303">
        <v>7</v>
      </c>
      <c r="BL303">
        <v>452.47</v>
      </c>
      <c r="BM303">
        <v>67.87</v>
      </c>
      <c r="BN303">
        <v>520.34</v>
      </c>
      <c r="BO303">
        <v>520.34</v>
      </c>
      <c r="BQ303" t="s">
        <v>971</v>
      </c>
      <c r="BR303" t="s">
        <v>84</v>
      </c>
      <c r="BS303" s="3">
        <v>45888</v>
      </c>
      <c r="BT303" s="4">
        <v>0.48194444444444445</v>
      </c>
      <c r="BU303" t="s">
        <v>1074</v>
      </c>
      <c r="BV303" t="s">
        <v>86</v>
      </c>
      <c r="BY303">
        <v>33000.15</v>
      </c>
      <c r="BZ303" t="s">
        <v>102</v>
      </c>
      <c r="CA303" t="s">
        <v>1075</v>
      </c>
      <c r="CC303" t="s">
        <v>694</v>
      </c>
      <c r="CD303">
        <v>2515</v>
      </c>
      <c r="CE303" t="s">
        <v>797</v>
      </c>
      <c r="CF303" s="3">
        <v>45888</v>
      </c>
      <c r="CI303">
        <v>1</v>
      </c>
      <c r="CJ303">
        <v>1</v>
      </c>
      <c r="CK303">
        <v>23</v>
      </c>
      <c r="CL303" t="s">
        <v>90</v>
      </c>
    </row>
    <row r="304" spans="1:90" x14ac:dyDescent="0.3">
      <c r="A304" t="s">
        <v>72</v>
      </c>
      <c r="B304" t="s">
        <v>73</v>
      </c>
      <c r="C304" t="s">
        <v>74</v>
      </c>
      <c r="E304" t="str">
        <f>"GAB2027915"</f>
        <v>GAB2027915</v>
      </c>
      <c r="F304" s="3">
        <v>45887</v>
      </c>
      <c r="G304">
        <v>202605</v>
      </c>
      <c r="H304" t="s">
        <v>75</v>
      </c>
      <c r="I304" t="s">
        <v>76</v>
      </c>
      <c r="J304" t="s">
        <v>77</v>
      </c>
      <c r="K304" t="s">
        <v>78</v>
      </c>
      <c r="L304" t="s">
        <v>415</v>
      </c>
      <c r="M304" t="s">
        <v>416</v>
      </c>
      <c r="N304" t="s">
        <v>1076</v>
      </c>
      <c r="O304" t="s">
        <v>100</v>
      </c>
      <c r="P304" t="str">
        <f>"00120209 096679               "</f>
        <v xml:space="preserve">00120209 096679               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  <c r="AI304">
        <v>0</v>
      </c>
      <c r="AJ304">
        <v>0</v>
      </c>
      <c r="AK304">
        <v>0</v>
      </c>
      <c r="AL304">
        <v>0</v>
      </c>
      <c r="AM304">
        <v>0</v>
      </c>
      <c r="AN304">
        <v>0</v>
      </c>
      <c r="AO304">
        <v>0</v>
      </c>
      <c r="AP304">
        <v>0</v>
      </c>
      <c r="AQ304">
        <v>80.75</v>
      </c>
      <c r="AR304">
        <v>0</v>
      </c>
      <c r="AS304">
        <v>0</v>
      </c>
      <c r="AT304">
        <v>0</v>
      </c>
      <c r="AU304">
        <v>0</v>
      </c>
      <c r="AV304">
        <v>0</v>
      </c>
      <c r="AW304">
        <v>0</v>
      </c>
      <c r="AX304">
        <v>0</v>
      </c>
      <c r="AY304">
        <v>0</v>
      </c>
      <c r="AZ304">
        <v>0</v>
      </c>
      <c r="BA304">
        <v>0</v>
      </c>
      <c r="BB304">
        <v>0</v>
      </c>
      <c r="BC304">
        <v>0</v>
      </c>
      <c r="BD304">
        <v>0</v>
      </c>
      <c r="BE304">
        <v>0</v>
      </c>
      <c r="BF304">
        <v>0</v>
      </c>
      <c r="BG304">
        <v>0</v>
      </c>
      <c r="BH304">
        <v>2</v>
      </c>
      <c r="BI304">
        <v>1.4</v>
      </c>
      <c r="BJ304">
        <v>6.6</v>
      </c>
      <c r="BK304">
        <v>7</v>
      </c>
      <c r="BL304">
        <v>250.75</v>
      </c>
      <c r="BM304">
        <v>37.61</v>
      </c>
      <c r="BN304">
        <v>288.36</v>
      </c>
      <c r="BO304">
        <v>288.36</v>
      </c>
      <c r="BQ304" t="s">
        <v>1077</v>
      </c>
      <c r="BR304" t="s">
        <v>84</v>
      </c>
      <c r="BS304" s="3">
        <v>45888</v>
      </c>
      <c r="BT304" s="4">
        <v>0.43333333333333335</v>
      </c>
      <c r="BU304" t="s">
        <v>1078</v>
      </c>
      <c r="BV304" t="s">
        <v>86</v>
      </c>
      <c r="BY304">
        <v>33220.800000000003</v>
      </c>
      <c r="BZ304" t="s">
        <v>102</v>
      </c>
      <c r="CA304" t="s">
        <v>1079</v>
      </c>
      <c r="CC304" t="s">
        <v>416</v>
      </c>
      <c r="CD304">
        <v>2021</v>
      </c>
      <c r="CE304" t="s">
        <v>1080</v>
      </c>
      <c r="CF304" s="3">
        <v>45888</v>
      </c>
      <c r="CI304">
        <v>1</v>
      </c>
      <c r="CJ304">
        <v>1</v>
      </c>
      <c r="CK304">
        <v>21</v>
      </c>
      <c r="CL304" t="s">
        <v>90</v>
      </c>
    </row>
    <row r="305" spans="1:90" x14ac:dyDescent="0.3">
      <c r="A305" t="s">
        <v>72</v>
      </c>
      <c r="B305" t="s">
        <v>73</v>
      </c>
      <c r="C305" t="s">
        <v>74</v>
      </c>
      <c r="E305" t="str">
        <f>"GAB2027916"</f>
        <v>GAB2027916</v>
      </c>
      <c r="F305" s="3">
        <v>45887</v>
      </c>
      <c r="G305">
        <v>202605</v>
      </c>
      <c r="H305" t="s">
        <v>75</v>
      </c>
      <c r="I305" t="s">
        <v>76</v>
      </c>
      <c r="J305" t="s">
        <v>77</v>
      </c>
      <c r="K305" t="s">
        <v>78</v>
      </c>
      <c r="L305" t="s">
        <v>126</v>
      </c>
      <c r="M305" t="s">
        <v>127</v>
      </c>
      <c r="N305" t="s">
        <v>128</v>
      </c>
      <c r="O305" t="s">
        <v>100</v>
      </c>
      <c r="P305" t="str">
        <f>"00120208 096678               "</f>
        <v xml:space="preserve">00120208 096678               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  <c r="AI305">
        <v>0</v>
      </c>
      <c r="AJ305">
        <v>0</v>
      </c>
      <c r="AK305">
        <v>0</v>
      </c>
      <c r="AL305">
        <v>0</v>
      </c>
      <c r="AM305">
        <v>0</v>
      </c>
      <c r="AN305">
        <v>0</v>
      </c>
      <c r="AO305">
        <v>0</v>
      </c>
      <c r="AP305">
        <v>0</v>
      </c>
      <c r="AQ305">
        <v>18.03</v>
      </c>
      <c r="AR305">
        <v>0</v>
      </c>
      <c r="AS305">
        <v>0</v>
      </c>
      <c r="AT305">
        <v>0</v>
      </c>
      <c r="AU305">
        <v>0</v>
      </c>
      <c r="AV305">
        <v>0</v>
      </c>
      <c r="AW305">
        <v>0</v>
      </c>
      <c r="AX305">
        <v>0</v>
      </c>
      <c r="AY305">
        <v>0</v>
      </c>
      <c r="AZ305">
        <v>0</v>
      </c>
      <c r="BA305">
        <v>0</v>
      </c>
      <c r="BB305">
        <v>0</v>
      </c>
      <c r="BC305">
        <v>0</v>
      </c>
      <c r="BD305">
        <v>0</v>
      </c>
      <c r="BE305">
        <v>0</v>
      </c>
      <c r="BF305">
        <v>0</v>
      </c>
      <c r="BG305">
        <v>0</v>
      </c>
      <c r="BH305">
        <v>2</v>
      </c>
      <c r="BI305">
        <v>1.3</v>
      </c>
      <c r="BJ305">
        <v>4.9000000000000004</v>
      </c>
      <c r="BK305">
        <v>5</v>
      </c>
      <c r="BL305">
        <v>55.99</v>
      </c>
      <c r="BM305">
        <v>8.4</v>
      </c>
      <c r="BN305">
        <v>64.39</v>
      </c>
      <c r="BO305">
        <v>64.39</v>
      </c>
      <c r="BQ305" t="s">
        <v>1081</v>
      </c>
      <c r="BR305" t="s">
        <v>84</v>
      </c>
      <c r="BS305" s="3">
        <v>45888</v>
      </c>
      <c r="BT305" s="4">
        <v>0.4375</v>
      </c>
      <c r="BU305" t="s">
        <v>1082</v>
      </c>
      <c r="BV305" t="s">
        <v>86</v>
      </c>
      <c r="BY305">
        <v>24474</v>
      </c>
      <c r="BZ305" t="s">
        <v>102</v>
      </c>
      <c r="CA305" t="s">
        <v>131</v>
      </c>
      <c r="CC305" t="s">
        <v>127</v>
      </c>
      <c r="CD305">
        <v>7600</v>
      </c>
      <c r="CE305" t="s">
        <v>686</v>
      </c>
      <c r="CF305" s="3">
        <v>45889</v>
      </c>
      <c r="CI305">
        <v>1</v>
      </c>
      <c r="CJ305">
        <v>1</v>
      </c>
      <c r="CK305">
        <v>22</v>
      </c>
      <c r="CL305" t="s">
        <v>90</v>
      </c>
    </row>
    <row r="306" spans="1:90" x14ac:dyDescent="0.3">
      <c r="A306" t="s">
        <v>72</v>
      </c>
      <c r="B306" t="s">
        <v>73</v>
      </c>
      <c r="C306" t="s">
        <v>74</v>
      </c>
      <c r="E306" t="str">
        <f>"GAB2027917"</f>
        <v>GAB2027917</v>
      </c>
      <c r="F306" s="3">
        <v>45887</v>
      </c>
      <c r="G306">
        <v>202605</v>
      </c>
      <c r="H306" t="s">
        <v>75</v>
      </c>
      <c r="I306" t="s">
        <v>76</v>
      </c>
      <c r="J306" t="s">
        <v>77</v>
      </c>
      <c r="K306" t="s">
        <v>78</v>
      </c>
      <c r="L306" t="s">
        <v>518</v>
      </c>
      <c r="M306" t="s">
        <v>519</v>
      </c>
      <c r="N306" t="s">
        <v>1083</v>
      </c>
      <c r="O306" t="s">
        <v>100</v>
      </c>
      <c r="P306" t="str">
        <f>"00120207 096677               "</f>
        <v xml:space="preserve">00120207 096677               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  <c r="AI306">
        <v>0</v>
      </c>
      <c r="AJ306">
        <v>0</v>
      </c>
      <c r="AK306">
        <v>0</v>
      </c>
      <c r="AL306">
        <v>0</v>
      </c>
      <c r="AM306">
        <v>0</v>
      </c>
      <c r="AN306">
        <v>0</v>
      </c>
      <c r="AO306">
        <v>0</v>
      </c>
      <c r="AP306">
        <v>0</v>
      </c>
      <c r="AQ306">
        <v>74.98</v>
      </c>
      <c r="AR306">
        <v>0</v>
      </c>
      <c r="AS306">
        <v>0</v>
      </c>
      <c r="AT306">
        <v>0</v>
      </c>
      <c r="AU306">
        <v>0</v>
      </c>
      <c r="AV306">
        <v>0</v>
      </c>
      <c r="AW306">
        <v>0</v>
      </c>
      <c r="AX306">
        <v>0</v>
      </c>
      <c r="AY306">
        <v>0</v>
      </c>
      <c r="AZ306">
        <v>0</v>
      </c>
      <c r="BA306">
        <v>0</v>
      </c>
      <c r="BB306">
        <v>0</v>
      </c>
      <c r="BC306">
        <v>0</v>
      </c>
      <c r="BD306">
        <v>0</v>
      </c>
      <c r="BE306">
        <v>0</v>
      </c>
      <c r="BF306">
        <v>0</v>
      </c>
      <c r="BG306">
        <v>0</v>
      </c>
      <c r="BH306">
        <v>2</v>
      </c>
      <c r="BI306">
        <v>1.3</v>
      </c>
      <c r="BJ306">
        <v>6.2</v>
      </c>
      <c r="BK306">
        <v>6.5</v>
      </c>
      <c r="BL306">
        <v>232.84</v>
      </c>
      <c r="BM306">
        <v>34.93</v>
      </c>
      <c r="BN306">
        <v>267.77</v>
      </c>
      <c r="BO306">
        <v>267.77</v>
      </c>
      <c r="BQ306" t="s">
        <v>1084</v>
      </c>
      <c r="BR306" t="s">
        <v>84</v>
      </c>
      <c r="BS306" s="3">
        <v>45889</v>
      </c>
      <c r="BT306" s="4">
        <v>0.44722222222222224</v>
      </c>
      <c r="BU306" t="s">
        <v>1085</v>
      </c>
      <c r="BV306" t="s">
        <v>90</v>
      </c>
      <c r="BY306">
        <v>30936.3</v>
      </c>
      <c r="BZ306" t="s">
        <v>102</v>
      </c>
      <c r="CA306" t="s">
        <v>368</v>
      </c>
      <c r="CC306" t="s">
        <v>519</v>
      </c>
      <c r="CD306">
        <v>5241</v>
      </c>
      <c r="CE306" t="s">
        <v>414</v>
      </c>
      <c r="CF306" s="3">
        <v>45890</v>
      </c>
      <c r="CI306">
        <v>1</v>
      </c>
      <c r="CJ306">
        <v>2</v>
      </c>
      <c r="CK306">
        <v>21</v>
      </c>
      <c r="CL306" t="s">
        <v>90</v>
      </c>
    </row>
    <row r="307" spans="1:90" x14ac:dyDescent="0.3">
      <c r="A307" t="s">
        <v>72</v>
      </c>
      <c r="B307" t="s">
        <v>73</v>
      </c>
      <c r="C307" t="s">
        <v>74</v>
      </c>
      <c r="E307" t="str">
        <f>"GAB2027918"</f>
        <v>GAB2027918</v>
      </c>
      <c r="F307" s="3">
        <v>45887</v>
      </c>
      <c r="G307">
        <v>202605</v>
      </c>
      <c r="H307" t="s">
        <v>75</v>
      </c>
      <c r="I307" t="s">
        <v>76</v>
      </c>
      <c r="J307" t="s">
        <v>77</v>
      </c>
      <c r="K307" t="s">
        <v>78</v>
      </c>
      <c r="L307" t="s">
        <v>327</v>
      </c>
      <c r="M307" t="s">
        <v>328</v>
      </c>
      <c r="N307" t="s">
        <v>329</v>
      </c>
      <c r="O307" t="s">
        <v>100</v>
      </c>
      <c r="P307" t="str">
        <f>"00120206 096680               "</f>
        <v xml:space="preserve">00120206 096680               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  <c r="AI307">
        <v>0</v>
      </c>
      <c r="AJ307">
        <v>0</v>
      </c>
      <c r="AK307">
        <v>0</v>
      </c>
      <c r="AL307">
        <v>0</v>
      </c>
      <c r="AM307">
        <v>0</v>
      </c>
      <c r="AN307">
        <v>0</v>
      </c>
      <c r="AO307">
        <v>0</v>
      </c>
      <c r="AP307">
        <v>0</v>
      </c>
      <c r="AQ307">
        <v>115.42</v>
      </c>
      <c r="AR307">
        <v>0</v>
      </c>
      <c r="AS307">
        <v>0</v>
      </c>
      <c r="AT307">
        <v>0</v>
      </c>
      <c r="AU307">
        <v>0</v>
      </c>
      <c r="AV307">
        <v>0</v>
      </c>
      <c r="AW307">
        <v>0</v>
      </c>
      <c r="AX307">
        <v>0</v>
      </c>
      <c r="AY307">
        <v>0</v>
      </c>
      <c r="AZ307">
        <v>0</v>
      </c>
      <c r="BA307">
        <v>0</v>
      </c>
      <c r="BB307">
        <v>0</v>
      </c>
      <c r="BC307">
        <v>0</v>
      </c>
      <c r="BD307">
        <v>0</v>
      </c>
      <c r="BE307">
        <v>0</v>
      </c>
      <c r="BF307">
        <v>0</v>
      </c>
      <c r="BG307">
        <v>0</v>
      </c>
      <c r="BH307">
        <v>2</v>
      </c>
      <c r="BI307">
        <v>2.9</v>
      </c>
      <c r="BJ307">
        <v>5.2</v>
      </c>
      <c r="BK307">
        <v>5.5</v>
      </c>
      <c r="BL307">
        <v>358.4</v>
      </c>
      <c r="BM307">
        <v>53.76</v>
      </c>
      <c r="BN307">
        <v>412.16</v>
      </c>
      <c r="BO307">
        <v>412.16</v>
      </c>
      <c r="BQ307" t="s">
        <v>1086</v>
      </c>
      <c r="BR307" t="s">
        <v>84</v>
      </c>
      <c r="BS307" s="3">
        <v>45889</v>
      </c>
      <c r="BT307" s="4">
        <v>0.41666666666666669</v>
      </c>
      <c r="BU307" t="s">
        <v>1087</v>
      </c>
      <c r="BV307" t="s">
        <v>86</v>
      </c>
      <c r="BY307">
        <v>26186.2</v>
      </c>
      <c r="BZ307" t="s">
        <v>102</v>
      </c>
      <c r="CC307" t="s">
        <v>328</v>
      </c>
      <c r="CD307">
        <v>9700</v>
      </c>
      <c r="CE307" t="s">
        <v>1088</v>
      </c>
      <c r="CF307" s="3">
        <v>45890</v>
      </c>
      <c r="CI307">
        <v>2</v>
      </c>
      <c r="CJ307">
        <v>2</v>
      </c>
      <c r="CK307">
        <v>23</v>
      </c>
      <c r="CL307" t="s">
        <v>90</v>
      </c>
    </row>
    <row r="308" spans="1:90" x14ac:dyDescent="0.3">
      <c r="A308" t="s">
        <v>72</v>
      </c>
      <c r="B308" t="s">
        <v>73</v>
      </c>
      <c r="C308" t="s">
        <v>74</v>
      </c>
      <c r="E308" t="str">
        <f>"GAB2027919"</f>
        <v>GAB2027919</v>
      </c>
      <c r="F308" s="3">
        <v>45887</v>
      </c>
      <c r="G308">
        <v>202605</v>
      </c>
      <c r="H308" t="s">
        <v>75</v>
      </c>
      <c r="I308" t="s">
        <v>76</v>
      </c>
      <c r="J308" t="s">
        <v>77</v>
      </c>
      <c r="K308" t="s">
        <v>78</v>
      </c>
      <c r="L308" t="s">
        <v>499</v>
      </c>
      <c r="M308" t="s">
        <v>500</v>
      </c>
      <c r="N308" t="s">
        <v>501</v>
      </c>
      <c r="O308" t="s">
        <v>100</v>
      </c>
      <c r="P308" t="str">
        <f>"00120213 096656               "</f>
        <v xml:space="preserve">00120213 096656               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  <c r="AI308">
        <v>0</v>
      </c>
      <c r="AJ308">
        <v>0</v>
      </c>
      <c r="AK308">
        <v>0</v>
      </c>
      <c r="AL308">
        <v>0</v>
      </c>
      <c r="AM308">
        <v>0</v>
      </c>
      <c r="AN308">
        <v>0</v>
      </c>
      <c r="AO308">
        <v>0</v>
      </c>
      <c r="AP308">
        <v>0</v>
      </c>
      <c r="AQ308">
        <v>57.68</v>
      </c>
      <c r="AR308">
        <v>0</v>
      </c>
      <c r="AS308">
        <v>0</v>
      </c>
      <c r="AT308">
        <v>0</v>
      </c>
      <c r="AU308">
        <v>0</v>
      </c>
      <c r="AV308">
        <v>0</v>
      </c>
      <c r="AW308">
        <v>0</v>
      </c>
      <c r="AX308">
        <v>0</v>
      </c>
      <c r="AY308">
        <v>0</v>
      </c>
      <c r="AZ308">
        <v>0</v>
      </c>
      <c r="BA308">
        <v>0</v>
      </c>
      <c r="BB308">
        <v>0</v>
      </c>
      <c r="BC308">
        <v>0</v>
      </c>
      <c r="BD308">
        <v>0</v>
      </c>
      <c r="BE308">
        <v>0</v>
      </c>
      <c r="BF308">
        <v>0</v>
      </c>
      <c r="BG308">
        <v>0</v>
      </c>
      <c r="BH308">
        <v>2</v>
      </c>
      <c r="BI308">
        <v>1.8</v>
      </c>
      <c r="BJ308">
        <v>5</v>
      </c>
      <c r="BK308">
        <v>5</v>
      </c>
      <c r="BL308">
        <v>179.12</v>
      </c>
      <c r="BM308">
        <v>26.87</v>
      </c>
      <c r="BN308">
        <v>205.99</v>
      </c>
      <c r="BO308">
        <v>205.99</v>
      </c>
      <c r="BQ308" t="s">
        <v>1089</v>
      </c>
      <c r="BR308" t="s">
        <v>84</v>
      </c>
      <c r="BS308" s="3">
        <v>45889</v>
      </c>
      <c r="BT308" s="4">
        <v>0.43680555555555556</v>
      </c>
      <c r="BU308" t="s">
        <v>610</v>
      </c>
      <c r="BV308" t="s">
        <v>86</v>
      </c>
      <c r="BY308">
        <v>24894.38</v>
      </c>
      <c r="BZ308" t="s">
        <v>102</v>
      </c>
      <c r="CA308" t="s">
        <v>504</v>
      </c>
      <c r="CC308" t="s">
        <v>500</v>
      </c>
      <c r="CD308">
        <v>1200</v>
      </c>
      <c r="CE308" t="s">
        <v>1090</v>
      </c>
      <c r="CF308" s="3">
        <v>45889</v>
      </c>
      <c r="CI308">
        <v>2</v>
      </c>
      <c r="CJ308">
        <v>2</v>
      </c>
      <c r="CK308">
        <v>21</v>
      </c>
      <c r="CL308" t="s">
        <v>90</v>
      </c>
    </row>
    <row r="309" spans="1:90" x14ac:dyDescent="0.3">
      <c r="A309" t="s">
        <v>72</v>
      </c>
      <c r="B309" t="s">
        <v>73</v>
      </c>
      <c r="C309" t="s">
        <v>74</v>
      </c>
      <c r="E309" t="str">
        <f>"GAB2027920"</f>
        <v>GAB2027920</v>
      </c>
      <c r="F309" s="3">
        <v>45887</v>
      </c>
      <c r="G309">
        <v>202605</v>
      </c>
      <c r="H309" t="s">
        <v>75</v>
      </c>
      <c r="I309" t="s">
        <v>76</v>
      </c>
      <c r="J309" t="s">
        <v>77</v>
      </c>
      <c r="K309" t="s">
        <v>78</v>
      </c>
      <c r="L309" t="s">
        <v>407</v>
      </c>
      <c r="M309" t="s">
        <v>408</v>
      </c>
      <c r="N309" t="s">
        <v>409</v>
      </c>
      <c r="O309" t="s">
        <v>100</v>
      </c>
      <c r="P309" t="str">
        <f>"00120214 096683               "</f>
        <v xml:space="preserve">00120214 096683               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  <c r="AI309">
        <v>0</v>
      </c>
      <c r="AJ309">
        <v>0</v>
      </c>
      <c r="AK309">
        <v>0</v>
      </c>
      <c r="AL309">
        <v>0</v>
      </c>
      <c r="AM309">
        <v>0</v>
      </c>
      <c r="AN309">
        <v>0</v>
      </c>
      <c r="AO309">
        <v>0</v>
      </c>
      <c r="AP309">
        <v>0</v>
      </c>
      <c r="AQ309">
        <v>105.32</v>
      </c>
      <c r="AR309">
        <v>0</v>
      </c>
      <c r="AS309">
        <v>0</v>
      </c>
      <c r="AT309">
        <v>0</v>
      </c>
      <c r="AU309">
        <v>0</v>
      </c>
      <c r="AV309">
        <v>0</v>
      </c>
      <c r="AW309">
        <v>0</v>
      </c>
      <c r="AX309">
        <v>0</v>
      </c>
      <c r="AY309">
        <v>0</v>
      </c>
      <c r="AZ309">
        <v>0</v>
      </c>
      <c r="BA309">
        <v>0</v>
      </c>
      <c r="BB309">
        <v>0</v>
      </c>
      <c r="BC309">
        <v>0</v>
      </c>
      <c r="BD309">
        <v>0</v>
      </c>
      <c r="BE309">
        <v>0</v>
      </c>
      <c r="BF309">
        <v>0</v>
      </c>
      <c r="BG309">
        <v>0</v>
      </c>
      <c r="BH309">
        <v>2</v>
      </c>
      <c r="BI309">
        <v>1.2</v>
      </c>
      <c r="BJ309">
        <v>4.5999999999999996</v>
      </c>
      <c r="BK309">
        <v>5</v>
      </c>
      <c r="BL309">
        <v>327.04000000000002</v>
      </c>
      <c r="BM309">
        <v>49.06</v>
      </c>
      <c r="BN309">
        <v>376.1</v>
      </c>
      <c r="BO309">
        <v>376.1</v>
      </c>
      <c r="BQ309" t="s">
        <v>410</v>
      </c>
      <c r="BR309" t="s">
        <v>84</v>
      </c>
      <c r="BS309" s="3">
        <v>45889</v>
      </c>
      <c r="BT309" s="4">
        <v>0.50694444444444442</v>
      </c>
      <c r="BU309" t="s">
        <v>740</v>
      </c>
      <c r="BV309" t="s">
        <v>86</v>
      </c>
      <c r="BY309">
        <v>22988.67</v>
      </c>
      <c r="BZ309" t="s">
        <v>102</v>
      </c>
      <c r="CA309" t="s">
        <v>525</v>
      </c>
      <c r="CC309" t="s">
        <v>408</v>
      </c>
      <c r="CD309">
        <v>4420</v>
      </c>
      <c r="CE309" t="s">
        <v>403</v>
      </c>
      <c r="CF309" s="3">
        <v>45889</v>
      </c>
      <c r="CI309">
        <v>2</v>
      </c>
      <c r="CJ309">
        <v>2</v>
      </c>
      <c r="CK309">
        <v>23</v>
      </c>
      <c r="CL309" t="s">
        <v>90</v>
      </c>
    </row>
    <row r="310" spans="1:90" x14ac:dyDescent="0.3">
      <c r="A310" t="s">
        <v>72</v>
      </c>
      <c r="B310" t="s">
        <v>73</v>
      </c>
      <c r="C310" t="s">
        <v>74</v>
      </c>
      <c r="E310" t="str">
        <f>"GAB2027921"</f>
        <v>GAB2027921</v>
      </c>
      <c r="F310" s="3">
        <v>45887</v>
      </c>
      <c r="G310">
        <v>202605</v>
      </c>
      <c r="H310" t="s">
        <v>75</v>
      </c>
      <c r="I310" t="s">
        <v>76</v>
      </c>
      <c r="J310" t="s">
        <v>77</v>
      </c>
      <c r="K310" t="s">
        <v>78</v>
      </c>
      <c r="L310" t="s">
        <v>415</v>
      </c>
      <c r="M310" t="s">
        <v>416</v>
      </c>
      <c r="N310" t="s">
        <v>417</v>
      </c>
      <c r="O310" t="s">
        <v>100</v>
      </c>
      <c r="P310" t="str">
        <f>"00120217 096685               "</f>
        <v xml:space="preserve">00120217 096685               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  <c r="AI310">
        <v>0</v>
      </c>
      <c r="AJ310">
        <v>0</v>
      </c>
      <c r="AK310">
        <v>0</v>
      </c>
      <c r="AL310">
        <v>0</v>
      </c>
      <c r="AM310">
        <v>0</v>
      </c>
      <c r="AN310">
        <v>0</v>
      </c>
      <c r="AO310">
        <v>0</v>
      </c>
      <c r="AP310">
        <v>0</v>
      </c>
      <c r="AQ310">
        <v>63.45</v>
      </c>
      <c r="AR310">
        <v>0</v>
      </c>
      <c r="AS310">
        <v>0</v>
      </c>
      <c r="AT310">
        <v>0</v>
      </c>
      <c r="AU310">
        <v>0</v>
      </c>
      <c r="AV310">
        <v>0</v>
      </c>
      <c r="AW310">
        <v>0</v>
      </c>
      <c r="AX310">
        <v>0</v>
      </c>
      <c r="AY310">
        <v>0</v>
      </c>
      <c r="AZ310">
        <v>0</v>
      </c>
      <c r="BA310">
        <v>0</v>
      </c>
      <c r="BB310">
        <v>0</v>
      </c>
      <c r="BC310">
        <v>0</v>
      </c>
      <c r="BD310">
        <v>0</v>
      </c>
      <c r="BE310">
        <v>0</v>
      </c>
      <c r="BF310">
        <v>0</v>
      </c>
      <c r="BG310">
        <v>0</v>
      </c>
      <c r="BH310">
        <v>2</v>
      </c>
      <c r="BI310">
        <v>1.2</v>
      </c>
      <c r="BJ310">
        <v>5.0999999999999996</v>
      </c>
      <c r="BK310">
        <v>5.5</v>
      </c>
      <c r="BL310">
        <v>197.03</v>
      </c>
      <c r="BM310">
        <v>29.55</v>
      </c>
      <c r="BN310">
        <v>226.58</v>
      </c>
      <c r="BO310">
        <v>226.58</v>
      </c>
      <c r="BQ310" t="s">
        <v>452</v>
      </c>
      <c r="BR310" t="s">
        <v>84</v>
      </c>
      <c r="BS310" s="3">
        <v>45889</v>
      </c>
      <c r="BT310" s="4">
        <v>0.38124999999999998</v>
      </c>
      <c r="BU310" t="s">
        <v>1067</v>
      </c>
      <c r="BV310" t="s">
        <v>90</v>
      </c>
      <c r="BW310" t="s">
        <v>772</v>
      </c>
      <c r="BX310" t="s">
        <v>1091</v>
      </c>
      <c r="BY310">
        <v>25522.13</v>
      </c>
      <c r="BZ310" t="s">
        <v>102</v>
      </c>
      <c r="CA310" t="s">
        <v>420</v>
      </c>
      <c r="CC310" t="s">
        <v>416</v>
      </c>
      <c r="CD310">
        <v>2021</v>
      </c>
      <c r="CE310" t="s">
        <v>297</v>
      </c>
      <c r="CF310" s="3">
        <v>45890</v>
      </c>
      <c r="CI310">
        <v>1</v>
      </c>
      <c r="CJ310">
        <v>2</v>
      </c>
      <c r="CK310">
        <v>21</v>
      </c>
      <c r="CL310" t="s">
        <v>90</v>
      </c>
    </row>
    <row r="311" spans="1:90" x14ac:dyDescent="0.3">
      <c r="A311" t="s">
        <v>72</v>
      </c>
      <c r="B311" t="s">
        <v>73</v>
      </c>
      <c r="C311" t="s">
        <v>74</v>
      </c>
      <c r="E311" t="str">
        <f>"GAB2027922"</f>
        <v>GAB2027922</v>
      </c>
      <c r="F311" s="3">
        <v>45887</v>
      </c>
      <c r="G311">
        <v>202605</v>
      </c>
      <c r="H311" t="s">
        <v>75</v>
      </c>
      <c r="I311" t="s">
        <v>76</v>
      </c>
      <c r="J311" t="s">
        <v>77</v>
      </c>
      <c r="K311" t="s">
        <v>78</v>
      </c>
      <c r="L311" t="s">
        <v>832</v>
      </c>
      <c r="M311" t="s">
        <v>833</v>
      </c>
      <c r="N311" t="s">
        <v>834</v>
      </c>
      <c r="O311" t="s">
        <v>100</v>
      </c>
      <c r="P311" t="str">
        <f>"00120215 096676               "</f>
        <v xml:space="preserve">00120215 096676               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  <c r="AI311">
        <v>0</v>
      </c>
      <c r="AJ311">
        <v>0</v>
      </c>
      <c r="AK311">
        <v>0</v>
      </c>
      <c r="AL311">
        <v>0</v>
      </c>
      <c r="AM311">
        <v>0</v>
      </c>
      <c r="AN311">
        <v>0</v>
      </c>
      <c r="AO311">
        <v>0</v>
      </c>
      <c r="AP311">
        <v>0</v>
      </c>
      <c r="AQ311">
        <v>105.32</v>
      </c>
      <c r="AR311">
        <v>0</v>
      </c>
      <c r="AS311">
        <v>0</v>
      </c>
      <c r="AT311">
        <v>0</v>
      </c>
      <c r="AU311">
        <v>0</v>
      </c>
      <c r="AV311">
        <v>0</v>
      </c>
      <c r="AW311">
        <v>0</v>
      </c>
      <c r="AX311">
        <v>0</v>
      </c>
      <c r="AY311">
        <v>0</v>
      </c>
      <c r="AZ311">
        <v>0</v>
      </c>
      <c r="BA311">
        <v>0</v>
      </c>
      <c r="BB311">
        <v>0</v>
      </c>
      <c r="BC311">
        <v>0</v>
      </c>
      <c r="BD311">
        <v>0</v>
      </c>
      <c r="BE311">
        <v>0</v>
      </c>
      <c r="BF311">
        <v>0</v>
      </c>
      <c r="BG311">
        <v>0</v>
      </c>
      <c r="BH311">
        <v>2</v>
      </c>
      <c r="BI311">
        <v>1.1000000000000001</v>
      </c>
      <c r="BJ311">
        <v>4.8</v>
      </c>
      <c r="BK311">
        <v>5</v>
      </c>
      <c r="BL311">
        <v>327.04000000000002</v>
      </c>
      <c r="BM311">
        <v>49.06</v>
      </c>
      <c r="BN311">
        <v>376.1</v>
      </c>
      <c r="BO311">
        <v>376.1</v>
      </c>
      <c r="BQ311" t="s">
        <v>835</v>
      </c>
      <c r="BR311" t="s">
        <v>84</v>
      </c>
      <c r="BS311" s="3">
        <v>45888</v>
      </c>
      <c r="BT311" s="4">
        <v>0.36180555555555555</v>
      </c>
      <c r="BU311" t="s">
        <v>566</v>
      </c>
      <c r="BV311" t="s">
        <v>86</v>
      </c>
      <c r="BY311">
        <v>24069.66</v>
      </c>
      <c r="BZ311" t="s">
        <v>102</v>
      </c>
      <c r="CC311" t="s">
        <v>833</v>
      </c>
      <c r="CD311">
        <v>1900</v>
      </c>
      <c r="CE311" t="s">
        <v>297</v>
      </c>
      <c r="CF311" s="3">
        <v>45889</v>
      </c>
      <c r="CI311">
        <v>1</v>
      </c>
      <c r="CJ311">
        <v>1</v>
      </c>
      <c r="CK311">
        <v>23</v>
      </c>
      <c r="CL311" t="s">
        <v>90</v>
      </c>
    </row>
    <row r="312" spans="1:90" x14ac:dyDescent="0.3">
      <c r="A312" t="s">
        <v>72</v>
      </c>
      <c r="B312" t="s">
        <v>73</v>
      </c>
      <c r="C312" t="s">
        <v>74</v>
      </c>
      <c r="E312" t="str">
        <f>"GAB2027924"</f>
        <v>GAB2027924</v>
      </c>
      <c r="F312" s="3">
        <v>45887</v>
      </c>
      <c r="G312">
        <v>202605</v>
      </c>
      <c r="H312" t="s">
        <v>75</v>
      </c>
      <c r="I312" t="s">
        <v>76</v>
      </c>
      <c r="J312" t="s">
        <v>77</v>
      </c>
      <c r="K312" t="s">
        <v>78</v>
      </c>
      <c r="L312" t="s">
        <v>79</v>
      </c>
      <c r="M312" t="s">
        <v>80</v>
      </c>
      <c r="N312" t="s">
        <v>1092</v>
      </c>
      <c r="O312" t="s">
        <v>100</v>
      </c>
      <c r="P312" t="str">
        <f>"00038568 035550               "</f>
        <v xml:space="preserve">00038568 035550               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  <c r="AI312">
        <v>0</v>
      </c>
      <c r="AJ312">
        <v>0</v>
      </c>
      <c r="AK312">
        <v>0</v>
      </c>
      <c r="AL312">
        <v>0</v>
      </c>
      <c r="AM312">
        <v>0</v>
      </c>
      <c r="AN312">
        <v>0</v>
      </c>
      <c r="AO312">
        <v>0</v>
      </c>
      <c r="AP312">
        <v>0</v>
      </c>
      <c r="AQ312">
        <v>80.75</v>
      </c>
      <c r="AR312">
        <v>0</v>
      </c>
      <c r="AS312">
        <v>0</v>
      </c>
      <c r="AT312">
        <v>0</v>
      </c>
      <c r="AU312">
        <v>0</v>
      </c>
      <c r="AV312">
        <v>0</v>
      </c>
      <c r="AW312">
        <v>0</v>
      </c>
      <c r="AX312">
        <v>0</v>
      </c>
      <c r="AY312">
        <v>0</v>
      </c>
      <c r="AZ312">
        <v>0</v>
      </c>
      <c r="BA312">
        <v>0</v>
      </c>
      <c r="BB312">
        <v>0</v>
      </c>
      <c r="BC312">
        <v>0</v>
      </c>
      <c r="BD312">
        <v>0</v>
      </c>
      <c r="BE312">
        <v>0</v>
      </c>
      <c r="BF312">
        <v>0</v>
      </c>
      <c r="BG312">
        <v>0</v>
      </c>
      <c r="BH312">
        <v>2</v>
      </c>
      <c r="BI312">
        <v>1.3</v>
      </c>
      <c r="BJ312">
        <v>6.6</v>
      </c>
      <c r="BK312">
        <v>7</v>
      </c>
      <c r="BL312">
        <v>250.75</v>
      </c>
      <c r="BM312">
        <v>37.61</v>
      </c>
      <c r="BN312">
        <v>288.36</v>
      </c>
      <c r="BO312">
        <v>288.36</v>
      </c>
      <c r="BQ312" t="s">
        <v>1093</v>
      </c>
      <c r="BR312" t="s">
        <v>84</v>
      </c>
      <c r="BS312" s="3">
        <v>45889</v>
      </c>
      <c r="BT312" s="4">
        <v>0.31111111111111112</v>
      </c>
      <c r="BU312" t="s">
        <v>1094</v>
      </c>
      <c r="BV312" t="s">
        <v>90</v>
      </c>
      <c r="BW312" t="s">
        <v>589</v>
      </c>
      <c r="BX312" t="s">
        <v>1040</v>
      </c>
      <c r="BY312">
        <v>32844.75</v>
      </c>
      <c r="BZ312" t="s">
        <v>102</v>
      </c>
      <c r="CA312" t="s">
        <v>146</v>
      </c>
      <c r="CC312" t="s">
        <v>80</v>
      </c>
      <c r="CD312" s="5" t="s">
        <v>535</v>
      </c>
      <c r="CE312" t="s">
        <v>143</v>
      </c>
      <c r="CF312" s="3">
        <v>45889</v>
      </c>
      <c r="CI312">
        <v>1</v>
      </c>
      <c r="CJ312">
        <v>2</v>
      </c>
      <c r="CK312">
        <v>21</v>
      </c>
      <c r="CL312" t="s">
        <v>90</v>
      </c>
    </row>
    <row r="313" spans="1:90" x14ac:dyDescent="0.3">
      <c r="A313" t="s">
        <v>72</v>
      </c>
      <c r="B313" t="s">
        <v>73</v>
      </c>
      <c r="C313" t="s">
        <v>74</v>
      </c>
      <c r="E313" t="str">
        <f>"009945158405"</f>
        <v>009945158405</v>
      </c>
      <c r="F313" s="3">
        <v>45887</v>
      </c>
      <c r="G313">
        <v>202605</v>
      </c>
      <c r="H313" t="s">
        <v>79</v>
      </c>
      <c r="I313" t="s">
        <v>80</v>
      </c>
      <c r="J313" t="s">
        <v>257</v>
      </c>
      <c r="K313" t="s">
        <v>78</v>
      </c>
      <c r="L313" t="s">
        <v>91</v>
      </c>
      <c r="M313" t="s">
        <v>92</v>
      </c>
      <c r="N313" t="s">
        <v>1095</v>
      </c>
      <c r="O313" t="s">
        <v>100</v>
      </c>
      <c r="P313" t="str">
        <f>"NO REF                        "</f>
        <v xml:space="preserve">NO REF                        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  <c r="AI313">
        <v>0</v>
      </c>
      <c r="AJ313">
        <v>0</v>
      </c>
      <c r="AK313">
        <v>0</v>
      </c>
      <c r="AL313">
        <v>0</v>
      </c>
      <c r="AM313">
        <v>0</v>
      </c>
      <c r="AN313">
        <v>0</v>
      </c>
      <c r="AO313">
        <v>0</v>
      </c>
      <c r="AP313">
        <v>0</v>
      </c>
      <c r="AQ313">
        <v>40.380000000000003</v>
      </c>
      <c r="AR313">
        <v>0</v>
      </c>
      <c r="AS313">
        <v>0</v>
      </c>
      <c r="AT313">
        <v>0</v>
      </c>
      <c r="AU313">
        <v>0</v>
      </c>
      <c r="AV313">
        <v>0</v>
      </c>
      <c r="AW313">
        <v>0</v>
      </c>
      <c r="AX313">
        <v>0</v>
      </c>
      <c r="AY313">
        <v>0</v>
      </c>
      <c r="AZ313">
        <v>0</v>
      </c>
      <c r="BA313">
        <v>0</v>
      </c>
      <c r="BB313">
        <v>0</v>
      </c>
      <c r="BC313">
        <v>0</v>
      </c>
      <c r="BD313">
        <v>0</v>
      </c>
      <c r="BE313">
        <v>0</v>
      </c>
      <c r="BF313">
        <v>0</v>
      </c>
      <c r="BG313">
        <v>0</v>
      </c>
      <c r="BH313">
        <v>2</v>
      </c>
      <c r="BI313">
        <v>2</v>
      </c>
      <c r="BJ313">
        <v>3.4</v>
      </c>
      <c r="BK313">
        <v>3.5</v>
      </c>
      <c r="BL313">
        <v>125.4</v>
      </c>
      <c r="BM313">
        <v>18.809999999999999</v>
      </c>
      <c r="BN313">
        <v>144.21</v>
      </c>
      <c r="BO313">
        <v>144.21</v>
      </c>
      <c r="BQ313" t="s">
        <v>602</v>
      </c>
      <c r="BR313" t="s">
        <v>1096</v>
      </c>
      <c r="BS313" s="3">
        <v>45888</v>
      </c>
      <c r="BT313" s="4">
        <v>0.53125</v>
      </c>
      <c r="BU313" t="s">
        <v>1097</v>
      </c>
      <c r="BV313" t="s">
        <v>90</v>
      </c>
      <c r="BY313">
        <v>8381</v>
      </c>
      <c r="BZ313" t="s">
        <v>102</v>
      </c>
      <c r="CC313" t="s">
        <v>92</v>
      </c>
      <c r="CD313">
        <v>4000</v>
      </c>
      <c r="CE313" t="s">
        <v>355</v>
      </c>
      <c r="CF313" s="3">
        <v>45889</v>
      </c>
      <c r="CI313">
        <v>1</v>
      </c>
      <c r="CJ313">
        <v>1</v>
      </c>
      <c r="CK313">
        <v>21</v>
      </c>
      <c r="CL313" t="s">
        <v>90</v>
      </c>
    </row>
    <row r="314" spans="1:90" x14ac:dyDescent="0.3">
      <c r="A314" t="s">
        <v>72</v>
      </c>
      <c r="B314" t="s">
        <v>73</v>
      </c>
      <c r="C314" t="s">
        <v>74</v>
      </c>
      <c r="E314" t="str">
        <f>"080011598026"</f>
        <v>080011598026</v>
      </c>
      <c r="F314" s="3">
        <v>45887</v>
      </c>
      <c r="G314">
        <v>202605</v>
      </c>
      <c r="H314" t="s">
        <v>1098</v>
      </c>
      <c r="I314" t="s">
        <v>1099</v>
      </c>
      <c r="J314" t="s">
        <v>1100</v>
      </c>
      <c r="K314" t="s">
        <v>78</v>
      </c>
      <c r="L314" t="s">
        <v>75</v>
      </c>
      <c r="M314" t="s">
        <v>76</v>
      </c>
      <c r="N314" t="s">
        <v>257</v>
      </c>
      <c r="O314" t="s">
        <v>82</v>
      </c>
      <c r="P314" t="str">
        <f>"Hester                        "</f>
        <v xml:space="preserve">Hester                        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5.87</v>
      </c>
      <c r="AH314">
        <v>0</v>
      </c>
      <c r="AI314">
        <v>0</v>
      </c>
      <c r="AJ314">
        <v>0</v>
      </c>
      <c r="AK314">
        <v>0</v>
      </c>
      <c r="AL314">
        <v>0</v>
      </c>
      <c r="AM314">
        <v>0</v>
      </c>
      <c r="AN314">
        <v>0</v>
      </c>
      <c r="AO314">
        <v>0</v>
      </c>
      <c r="AP314">
        <v>0</v>
      </c>
      <c r="AQ314">
        <v>584.64</v>
      </c>
      <c r="AR314">
        <v>0</v>
      </c>
      <c r="AS314">
        <v>0</v>
      </c>
      <c r="AT314">
        <v>0</v>
      </c>
      <c r="AU314">
        <v>0</v>
      </c>
      <c r="AV314">
        <v>0</v>
      </c>
      <c r="AW314">
        <v>0</v>
      </c>
      <c r="AX314">
        <v>0</v>
      </c>
      <c r="AY314">
        <v>0</v>
      </c>
      <c r="AZ314">
        <v>0</v>
      </c>
      <c r="BA314">
        <v>0</v>
      </c>
      <c r="BB314">
        <v>0</v>
      </c>
      <c r="BC314">
        <v>0</v>
      </c>
      <c r="BD314">
        <v>0</v>
      </c>
      <c r="BE314">
        <v>0</v>
      </c>
      <c r="BF314">
        <v>0</v>
      </c>
      <c r="BG314">
        <v>0</v>
      </c>
      <c r="BH314">
        <v>10</v>
      </c>
      <c r="BI314">
        <v>308</v>
      </c>
      <c r="BJ314">
        <v>177.4</v>
      </c>
      <c r="BK314">
        <v>308</v>
      </c>
      <c r="BL314">
        <v>1821.33</v>
      </c>
      <c r="BM314">
        <v>273.2</v>
      </c>
      <c r="BN314">
        <v>2094.5300000000002</v>
      </c>
      <c r="BO314">
        <v>2094.5300000000002</v>
      </c>
      <c r="BP314" t="s">
        <v>176</v>
      </c>
      <c r="BQ314" t="s">
        <v>614</v>
      </c>
      <c r="BR314" t="s">
        <v>1101</v>
      </c>
      <c r="BS314" s="3">
        <v>45889</v>
      </c>
      <c r="BT314" s="4">
        <v>0.58125000000000004</v>
      </c>
      <c r="BU314" t="s">
        <v>349</v>
      </c>
      <c r="BV314" t="s">
        <v>86</v>
      </c>
      <c r="BY314">
        <v>177408</v>
      </c>
      <c r="BZ314" t="s">
        <v>606</v>
      </c>
      <c r="CA314" t="s">
        <v>351</v>
      </c>
      <c r="CC314" t="s">
        <v>76</v>
      </c>
      <c r="CD314">
        <v>7460</v>
      </c>
      <c r="CE314" t="s">
        <v>1102</v>
      </c>
      <c r="CF314" s="3">
        <v>45890</v>
      </c>
      <c r="CI314">
        <v>3</v>
      </c>
      <c r="CJ314">
        <v>2</v>
      </c>
      <c r="CK314">
        <v>41</v>
      </c>
      <c r="CL314" t="s">
        <v>90</v>
      </c>
    </row>
    <row r="315" spans="1:90" x14ac:dyDescent="0.3">
      <c r="A315" t="s">
        <v>72</v>
      </c>
      <c r="B315" t="s">
        <v>73</v>
      </c>
      <c r="C315" t="s">
        <v>74</v>
      </c>
      <c r="E315" t="str">
        <f>"RGAB2027904"</f>
        <v>RGAB2027904</v>
      </c>
      <c r="F315" s="3">
        <v>45888</v>
      </c>
      <c r="G315">
        <v>202605</v>
      </c>
      <c r="H315" t="s">
        <v>908</v>
      </c>
      <c r="I315" t="s">
        <v>909</v>
      </c>
      <c r="J315" t="s">
        <v>910</v>
      </c>
      <c r="K315" t="s">
        <v>78</v>
      </c>
      <c r="L315" t="s">
        <v>908</v>
      </c>
      <c r="M315" t="s">
        <v>909</v>
      </c>
      <c r="N315" t="s">
        <v>910</v>
      </c>
      <c r="O315" t="s">
        <v>82</v>
      </c>
      <c r="P315" t="str">
        <f>"INV-00120190 CT096664         "</f>
        <v xml:space="preserve">INV-00120190 CT096664         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5.87</v>
      </c>
      <c r="AH315">
        <v>0</v>
      </c>
      <c r="AI315">
        <v>0</v>
      </c>
      <c r="AJ315">
        <v>0</v>
      </c>
      <c r="AK315">
        <v>0</v>
      </c>
      <c r="AL315">
        <v>0</v>
      </c>
      <c r="AM315">
        <v>0</v>
      </c>
      <c r="AN315">
        <v>0</v>
      </c>
      <c r="AO315">
        <v>0</v>
      </c>
      <c r="AP315">
        <v>0</v>
      </c>
      <c r="AQ315">
        <v>34.450000000000003</v>
      </c>
      <c r="AR315">
        <v>0</v>
      </c>
      <c r="AS315">
        <v>0</v>
      </c>
      <c r="AT315">
        <v>0</v>
      </c>
      <c r="AU315">
        <v>0</v>
      </c>
      <c r="AV315">
        <v>0</v>
      </c>
      <c r="AW315">
        <v>0</v>
      </c>
      <c r="AX315">
        <v>0</v>
      </c>
      <c r="AY315">
        <v>0</v>
      </c>
      <c r="AZ315">
        <v>0</v>
      </c>
      <c r="BA315">
        <v>0</v>
      </c>
      <c r="BB315">
        <v>0</v>
      </c>
      <c r="BC315">
        <v>0</v>
      </c>
      <c r="BD315">
        <v>0</v>
      </c>
      <c r="BE315">
        <v>0</v>
      </c>
      <c r="BF315">
        <v>0</v>
      </c>
      <c r="BG315">
        <v>0</v>
      </c>
      <c r="BH315">
        <v>1</v>
      </c>
      <c r="BI315">
        <v>1</v>
      </c>
      <c r="BJ315">
        <v>1.8</v>
      </c>
      <c r="BK315">
        <v>2</v>
      </c>
      <c r="BL315">
        <v>112.84</v>
      </c>
      <c r="BM315">
        <v>16.93</v>
      </c>
      <c r="BN315">
        <v>129.77000000000001</v>
      </c>
      <c r="BO315">
        <v>129.77000000000001</v>
      </c>
      <c r="BQ315" t="s">
        <v>1046</v>
      </c>
      <c r="BR315" t="s">
        <v>1046</v>
      </c>
      <c r="BS315" s="3">
        <v>45890</v>
      </c>
      <c r="BT315" s="4">
        <v>0.52638888888888891</v>
      </c>
      <c r="BU315" t="s">
        <v>1103</v>
      </c>
      <c r="BV315" t="s">
        <v>90</v>
      </c>
      <c r="BY315">
        <v>8837.2800000000007</v>
      </c>
      <c r="CA315" t="s">
        <v>778</v>
      </c>
      <c r="CC315" t="s">
        <v>909</v>
      </c>
      <c r="CD315">
        <v>1684</v>
      </c>
      <c r="CE315" t="s">
        <v>703</v>
      </c>
      <c r="CF315" s="3">
        <v>45891</v>
      </c>
      <c r="CI315">
        <v>1</v>
      </c>
      <c r="CJ315">
        <v>2</v>
      </c>
      <c r="CK315">
        <v>42</v>
      </c>
      <c r="CL315" t="s">
        <v>90</v>
      </c>
    </row>
    <row r="316" spans="1:90" x14ac:dyDescent="0.3">
      <c r="A316" t="s">
        <v>72</v>
      </c>
      <c r="B316" t="s">
        <v>73</v>
      </c>
      <c r="C316" t="s">
        <v>74</v>
      </c>
      <c r="E316" t="str">
        <f>"RGAB2027855"</f>
        <v>RGAB2027855</v>
      </c>
      <c r="F316" s="3">
        <v>45888</v>
      </c>
      <c r="G316">
        <v>202605</v>
      </c>
      <c r="H316" t="s">
        <v>91</v>
      </c>
      <c r="I316" t="s">
        <v>92</v>
      </c>
      <c r="J316" t="s">
        <v>943</v>
      </c>
      <c r="K316" t="s">
        <v>78</v>
      </c>
      <c r="L316" t="s">
        <v>91</v>
      </c>
      <c r="M316" t="s">
        <v>92</v>
      </c>
      <c r="N316" t="s">
        <v>1104</v>
      </c>
      <c r="O316" t="s">
        <v>82</v>
      </c>
      <c r="P316" t="str">
        <f>"INV-00038426 035422           "</f>
        <v xml:space="preserve">INV-00038426 035422           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5.87</v>
      </c>
      <c r="AH316">
        <v>0</v>
      </c>
      <c r="AI316">
        <v>0</v>
      </c>
      <c r="AJ316">
        <v>0</v>
      </c>
      <c r="AK316">
        <v>0</v>
      </c>
      <c r="AL316">
        <v>0</v>
      </c>
      <c r="AM316">
        <v>0</v>
      </c>
      <c r="AN316">
        <v>0</v>
      </c>
      <c r="AO316">
        <v>0</v>
      </c>
      <c r="AP316">
        <v>0</v>
      </c>
      <c r="AQ316">
        <v>34.450000000000003</v>
      </c>
      <c r="AR316">
        <v>0</v>
      </c>
      <c r="AS316">
        <v>0</v>
      </c>
      <c r="AT316">
        <v>0</v>
      </c>
      <c r="AU316">
        <v>0</v>
      </c>
      <c r="AV316">
        <v>0</v>
      </c>
      <c r="AW316">
        <v>0</v>
      </c>
      <c r="AX316">
        <v>0</v>
      </c>
      <c r="AY316">
        <v>0</v>
      </c>
      <c r="AZ316">
        <v>0</v>
      </c>
      <c r="BA316">
        <v>0</v>
      </c>
      <c r="BB316">
        <v>0</v>
      </c>
      <c r="BC316">
        <v>0</v>
      </c>
      <c r="BD316">
        <v>0</v>
      </c>
      <c r="BE316">
        <v>0</v>
      </c>
      <c r="BF316">
        <v>0</v>
      </c>
      <c r="BG316">
        <v>0</v>
      </c>
      <c r="BH316">
        <v>1</v>
      </c>
      <c r="BI316">
        <v>0.8</v>
      </c>
      <c r="BJ316">
        <v>2</v>
      </c>
      <c r="BK316">
        <v>2</v>
      </c>
      <c r="BL316">
        <v>112.84</v>
      </c>
      <c r="BM316">
        <v>16.93</v>
      </c>
      <c r="BN316">
        <v>129.77000000000001</v>
      </c>
      <c r="BO316">
        <v>129.77000000000001</v>
      </c>
      <c r="BQ316" t="s">
        <v>1105</v>
      </c>
      <c r="BR316" t="s">
        <v>1106</v>
      </c>
      <c r="BS316" s="3">
        <v>45890</v>
      </c>
      <c r="BT316" s="4">
        <v>0.43402777777777779</v>
      </c>
      <c r="BU316" t="s">
        <v>1107</v>
      </c>
      <c r="BV316" t="s">
        <v>90</v>
      </c>
      <c r="BY316">
        <v>9982.4</v>
      </c>
      <c r="BZ316" t="s">
        <v>606</v>
      </c>
      <c r="CA316" t="s">
        <v>517</v>
      </c>
      <c r="CC316" t="s">
        <v>92</v>
      </c>
      <c r="CD316">
        <v>4067</v>
      </c>
      <c r="CE316" t="s">
        <v>109</v>
      </c>
      <c r="CF316" s="3">
        <v>45890</v>
      </c>
      <c r="CI316">
        <v>1</v>
      </c>
      <c r="CJ316">
        <v>2</v>
      </c>
      <c r="CK316">
        <v>42</v>
      </c>
      <c r="CL316" t="s">
        <v>90</v>
      </c>
    </row>
    <row r="317" spans="1:90" x14ac:dyDescent="0.3">
      <c r="A317" t="s">
        <v>72</v>
      </c>
      <c r="B317" t="s">
        <v>73</v>
      </c>
      <c r="C317" t="s">
        <v>74</v>
      </c>
      <c r="E317" t="str">
        <f>"080011600133"</f>
        <v>080011600133</v>
      </c>
      <c r="F317" s="3">
        <v>45888</v>
      </c>
      <c r="G317">
        <v>202605</v>
      </c>
      <c r="H317" t="s">
        <v>438</v>
      </c>
      <c r="I317" t="s">
        <v>439</v>
      </c>
      <c r="J317" t="s">
        <v>1108</v>
      </c>
      <c r="K317" t="s">
        <v>78</v>
      </c>
      <c r="L317" t="s">
        <v>75</v>
      </c>
      <c r="M317" t="s">
        <v>76</v>
      </c>
      <c r="N317" t="s">
        <v>257</v>
      </c>
      <c r="O317" t="s">
        <v>82</v>
      </c>
      <c r="P317" t="str">
        <f>"Hester                        "</f>
        <v xml:space="preserve">Hester                        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5.87</v>
      </c>
      <c r="AH317">
        <v>0</v>
      </c>
      <c r="AI317">
        <v>0</v>
      </c>
      <c r="AJ317">
        <v>0</v>
      </c>
      <c r="AK317">
        <v>0</v>
      </c>
      <c r="AL317">
        <v>0</v>
      </c>
      <c r="AM317">
        <v>0</v>
      </c>
      <c r="AN317">
        <v>0</v>
      </c>
      <c r="AO317">
        <v>0</v>
      </c>
      <c r="AP317">
        <v>0</v>
      </c>
      <c r="AQ317">
        <v>138.63</v>
      </c>
      <c r="AR317">
        <v>0</v>
      </c>
      <c r="AS317">
        <v>0</v>
      </c>
      <c r="AT317">
        <v>0</v>
      </c>
      <c r="AU317">
        <v>0</v>
      </c>
      <c r="AV317">
        <v>0</v>
      </c>
      <c r="AW317">
        <v>0</v>
      </c>
      <c r="AX317">
        <v>0</v>
      </c>
      <c r="AY317">
        <v>0</v>
      </c>
      <c r="AZ317">
        <v>0</v>
      </c>
      <c r="BA317">
        <v>0</v>
      </c>
      <c r="BB317">
        <v>0</v>
      </c>
      <c r="BC317">
        <v>0</v>
      </c>
      <c r="BD317">
        <v>0</v>
      </c>
      <c r="BE317">
        <v>0</v>
      </c>
      <c r="BF317">
        <v>0</v>
      </c>
      <c r="BG317">
        <v>0</v>
      </c>
      <c r="BH317">
        <v>1</v>
      </c>
      <c r="BI317">
        <v>66</v>
      </c>
      <c r="BJ317">
        <v>28.9</v>
      </c>
      <c r="BK317">
        <v>66</v>
      </c>
      <c r="BL317">
        <v>436.36</v>
      </c>
      <c r="BM317">
        <v>65.45</v>
      </c>
      <c r="BN317">
        <v>501.81</v>
      </c>
      <c r="BO317">
        <v>501.81</v>
      </c>
      <c r="BP317" t="s">
        <v>176</v>
      </c>
      <c r="BQ317" t="s">
        <v>614</v>
      </c>
      <c r="BR317" t="s">
        <v>1109</v>
      </c>
      <c r="BS317" s="3">
        <v>45894</v>
      </c>
      <c r="BT317" s="4">
        <v>0.50138888888888888</v>
      </c>
      <c r="BU317" t="s">
        <v>349</v>
      </c>
      <c r="BV317" t="s">
        <v>90</v>
      </c>
      <c r="BW317" t="s">
        <v>156</v>
      </c>
      <c r="BX317" t="s">
        <v>752</v>
      </c>
      <c r="BY317">
        <v>144495</v>
      </c>
      <c r="BZ317" t="s">
        <v>606</v>
      </c>
      <c r="CA317" t="s">
        <v>351</v>
      </c>
      <c r="CC317" t="s">
        <v>76</v>
      </c>
      <c r="CD317">
        <v>7460</v>
      </c>
      <c r="CE317" t="s">
        <v>1110</v>
      </c>
      <c r="CF317" s="3">
        <v>45895</v>
      </c>
      <c r="CI317">
        <v>3</v>
      </c>
      <c r="CJ317">
        <v>4</v>
      </c>
      <c r="CK317">
        <v>41</v>
      </c>
      <c r="CL317" t="s">
        <v>90</v>
      </c>
    </row>
    <row r="318" spans="1:90" x14ac:dyDescent="0.3">
      <c r="A318" t="s">
        <v>72</v>
      </c>
      <c r="B318" t="s">
        <v>73</v>
      </c>
      <c r="C318" t="s">
        <v>74</v>
      </c>
      <c r="E318" t="str">
        <f>"GAB2027929"</f>
        <v>GAB2027929</v>
      </c>
      <c r="F318" s="3">
        <v>45888</v>
      </c>
      <c r="G318">
        <v>202605</v>
      </c>
      <c r="H318" t="s">
        <v>75</v>
      </c>
      <c r="I318" t="s">
        <v>76</v>
      </c>
      <c r="J318" t="s">
        <v>77</v>
      </c>
      <c r="K318" t="s">
        <v>78</v>
      </c>
      <c r="L318" t="s">
        <v>148</v>
      </c>
      <c r="M318" t="s">
        <v>149</v>
      </c>
      <c r="N318" t="s">
        <v>783</v>
      </c>
      <c r="O318" t="s">
        <v>82</v>
      </c>
      <c r="P318" t="str">
        <f>"INV-00038581 00038580 00038579"</f>
        <v>INV-00038581 00038580 00038579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5.87</v>
      </c>
      <c r="AH318">
        <v>0</v>
      </c>
      <c r="AI318">
        <v>0</v>
      </c>
      <c r="AJ318">
        <v>0</v>
      </c>
      <c r="AK318">
        <v>0</v>
      </c>
      <c r="AL318">
        <v>0</v>
      </c>
      <c r="AM318">
        <v>0</v>
      </c>
      <c r="AN318">
        <v>0</v>
      </c>
      <c r="AO318">
        <v>0</v>
      </c>
      <c r="AP318">
        <v>0</v>
      </c>
      <c r="AQ318">
        <v>107.3</v>
      </c>
      <c r="AR318">
        <v>0</v>
      </c>
      <c r="AS318">
        <v>0</v>
      </c>
      <c r="AT318">
        <v>0</v>
      </c>
      <c r="AU318">
        <v>0</v>
      </c>
      <c r="AV318">
        <v>0</v>
      </c>
      <c r="AW318">
        <v>0</v>
      </c>
      <c r="AX318">
        <v>0</v>
      </c>
      <c r="AY318">
        <v>0</v>
      </c>
      <c r="AZ318">
        <v>0</v>
      </c>
      <c r="BA318">
        <v>0</v>
      </c>
      <c r="BB318">
        <v>0</v>
      </c>
      <c r="BC318">
        <v>0</v>
      </c>
      <c r="BD318">
        <v>0</v>
      </c>
      <c r="BE318">
        <v>0</v>
      </c>
      <c r="BF318">
        <v>0</v>
      </c>
      <c r="BG318">
        <v>0</v>
      </c>
      <c r="BH318">
        <v>2</v>
      </c>
      <c r="BI318">
        <v>23.8</v>
      </c>
      <c r="BJ318">
        <v>48.3</v>
      </c>
      <c r="BK318">
        <v>49</v>
      </c>
      <c r="BL318">
        <v>339.07</v>
      </c>
      <c r="BM318">
        <v>50.86</v>
      </c>
      <c r="BN318">
        <v>389.93</v>
      </c>
      <c r="BO318">
        <v>389.93</v>
      </c>
      <c r="BR318" t="s">
        <v>84</v>
      </c>
      <c r="BS318" s="3">
        <v>45891</v>
      </c>
      <c r="BT318" s="4">
        <v>0.41666666666666669</v>
      </c>
      <c r="BU318" t="s">
        <v>1111</v>
      </c>
      <c r="BV318" t="s">
        <v>86</v>
      </c>
      <c r="BY318">
        <v>241598.01</v>
      </c>
      <c r="CA318" t="s">
        <v>791</v>
      </c>
      <c r="CC318" t="s">
        <v>149</v>
      </c>
      <c r="CD318">
        <v>6001</v>
      </c>
      <c r="CE318" t="s">
        <v>171</v>
      </c>
      <c r="CF318" s="3">
        <v>45891</v>
      </c>
      <c r="CI318">
        <v>3</v>
      </c>
      <c r="CJ318">
        <v>3</v>
      </c>
      <c r="CK318">
        <v>41</v>
      </c>
      <c r="CL318" t="s">
        <v>90</v>
      </c>
    </row>
    <row r="319" spans="1:90" x14ac:dyDescent="0.3">
      <c r="A319" t="s">
        <v>72</v>
      </c>
      <c r="B319" t="s">
        <v>73</v>
      </c>
      <c r="C319" t="s">
        <v>74</v>
      </c>
      <c r="E319" t="str">
        <f>"GAB2027931"</f>
        <v>GAB2027931</v>
      </c>
      <c r="F319" s="3">
        <v>45888</v>
      </c>
      <c r="G319">
        <v>202605</v>
      </c>
      <c r="H319" t="s">
        <v>75</v>
      </c>
      <c r="I319" t="s">
        <v>76</v>
      </c>
      <c r="J319" t="s">
        <v>77</v>
      </c>
      <c r="K319" t="s">
        <v>78</v>
      </c>
      <c r="L319" t="s">
        <v>1112</v>
      </c>
      <c r="M319" t="s">
        <v>1113</v>
      </c>
      <c r="N319" t="s">
        <v>1114</v>
      </c>
      <c r="O319" t="s">
        <v>82</v>
      </c>
      <c r="P319" t="str">
        <f>"INV-00120236 0120238 CT095027 "</f>
        <v xml:space="preserve">INV-00120236 0120238 CT095027 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5.87</v>
      </c>
      <c r="AH319">
        <v>0</v>
      </c>
      <c r="AI319">
        <v>0</v>
      </c>
      <c r="AJ319">
        <v>0</v>
      </c>
      <c r="AK319">
        <v>0</v>
      </c>
      <c r="AL319">
        <v>0</v>
      </c>
      <c r="AM319">
        <v>0</v>
      </c>
      <c r="AN319">
        <v>0</v>
      </c>
      <c r="AO319">
        <v>0</v>
      </c>
      <c r="AP319">
        <v>0</v>
      </c>
      <c r="AQ319">
        <v>62.96</v>
      </c>
      <c r="AR319">
        <v>0</v>
      </c>
      <c r="AS319">
        <v>0</v>
      </c>
      <c r="AT319">
        <v>0</v>
      </c>
      <c r="AU319">
        <v>0</v>
      </c>
      <c r="AV319">
        <v>0</v>
      </c>
      <c r="AW319">
        <v>0</v>
      </c>
      <c r="AX319">
        <v>0</v>
      </c>
      <c r="AY319">
        <v>0</v>
      </c>
      <c r="AZ319">
        <v>0</v>
      </c>
      <c r="BA319">
        <v>0</v>
      </c>
      <c r="BB319">
        <v>0</v>
      </c>
      <c r="BC319">
        <v>0</v>
      </c>
      <c r="BD319">
        <v>0</v>
      </c>
      <c r="BE319">
        <v>0</v>
      </c>
      <c r="BF319">
        <v>0</v>
      </c>
      <c r="BG319">
        <v>0</v>
      </c>
      <c r="BH319">
        <v>1</v>
      </c>
      <c r="BI319">
        <v>11.7</v>
      </c>
      <c r="BJ319">
        <v>13.7</v>
      </c>
      <c r="BK319">
        <v>14</v>
      </c>
      <c r="BL319">
        <v>201.38</v>
      </c>
      <c r="BM319">
        <v>30.21</v>
      </c>
      <c r="BN319">
        <v>231.59</v>
      </c>
      <c r="BO319">
        <v>231.59</v>
      </c>
      <c r="BQ319" t="s">
        <v>168</v>
      </c>
      <c r="BR319" t="s">
        <v>84</v>
      </c>
      <c r="BS319" s="3">
        <v>45895</v>
      </c>
      <c r="BT319" s="4">
        <v>0.4826388888888889</v>
      </c>
      <c r="BU319" t="s">
        <v>1115</v>
      </c>
      <c r="BV319" t="s">
        <v>86</v>
      </c>
      <c r="BY319">
        <v>126931.5</v>
      </c>
      <c r="CA319" t="s">
        <v>368</v>
      </c>
      <c r="CC319" t="s">
        <v>1113</v>
      </c>
      <c r="CD319">
        <v>5160</v>
      </c>
      <c r="CE319" t="s">
        <v>171</v>
      </c>
      <c r="CF319" s="3">
        <v>45896</v>
      </c>
      <c r="CI319">
        <v>7</v>
      </c>
      <c r="CJ319">
        <v>5</v>
      </c>
      <c r="CK319">
        <v>43</v>
      </c>
      <c r="CL319" t="s">
        <v>90</v>
      </c>
    </row>
    <row r="320" spans="1:90" x14ac:dyDescent="0.3">
      <c r="A320" t="s">
        <v>72</v>
      </c>
      <c r="B320" t="s">
        <v>73</v>
      </c>
      <c r="C320" t="s">
        <v>74</v>
      </c>
      <c r="E320" t="str">
        <f>"GAB2027932"</f>
        <v>GAB2027932</v>
      </c>
      <c r="F320" s="3">
        <v>45888</v>
      </c>
      <c r="G320">
        <v>202605</v>
      </c>
      <c r="H320" t="s">
        <v>75</v>
      </c>
      <c r="I320" t="s">
        <v>76</v>
      </c>
      <c r="J320" t="s">
        <v>77</v>
      </c>
      <c r="K320" t="s">
        <v>78</v>
      </c>
      <c r="L320" t="s">
        <v>1112</v>
      </c>
      <c r="M320" t="s">
        <v>1113</v>
      </c>
      <c r="N320" t="s">
        <v>1116</v>
      </c>
      <c r="O320" t="s">
        <v>82</v>
      </c>
      <c r="P320" t="str">
        <f>"INV-00120235 CT095018         "</f>
        <v xml:space="preserve">INV-00120235 CT095018         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5.87</v>
      </c>
      <c r="AH320">
        <v>0</v>
      </c>
      <c r="AI320">
        <v>0</v>
      </c>
      <c r="AJ320">
        <v>0</v>
      </c>
      <c r="AK320">
        <v>0</v>
      </c>
      <c r="AL320">
        <v>0</v>
      </c>
      <c r="AM320">
        <v>0</v>
      </c>
      <c r="AN320">
        <v>0</v>
      </c>
      <c r="AO320">
        <v>0</v>
      </c>
      <c r="AP320">
        <v>0</v>
      </c>
      <c r="AQ320">
        <v>62.96</v>
      </c>
      <c r="AR320">
        <v>0</v>
      </c>
      <c r="AS320">
        <v>0</v>
      </c>
      <c r="AT320">
        <v>0</v>
      </c>
      <c r="AU320">
        <v>0</v>
      </c>
      <c r="AV320">
        <v>0</v>
      </c>
      <c r="AW320">
        <v>0</v>
      </c>
      <c r="AX320">
        <v>0</v>
      </c>
      <c r="AY320">
        <v>0</v>
      </c>
      <c r="AZ320">
        <v>0</v>
      </c>
      <c r="BA320">
        <v>0</v>
      </c>
      <c r="BB320">
        <v>0</v>
      </c>
      <c r="BC320">
        <v>0</v>
      </c>
      <c r="BD320">
        <v>0</v>
      </c>
      <c r="BE320">
        <v>0</v>
      </c>
      <c r="BF320">
        <v>0</v>
      </c>
      <c r="BG320">
        <v>0</v>
      </c>
      <c r="BH320">
        <v>2</v>
      </c>
      <c r="BI320">
        <v>3.5</v>
      </c>
      <c r="BJ320">
        <v>11.9</v>
      </c>
      <c r="BK320">
        <v>12</v>
      </c>
      <c r="BL320">
        <v>201.38</v>
      </c>
      <c r="BM320">
        <v>30.21</v>
      </c>
      <c r="BN320">
        <v>231.59</v>
      </c>
      <c r="BO320">
        <v>231.59</v>
      </c>
      <c r="BR320" t="s">
        <v>84</v>
      </c>
      <c r="BS320" s="3">
        <v>45895</v>
      </c>
      <c r="BT320" s="4">
        <v>0.70347222222222228</v>
      </c>
      <c r="BU320" t="s">
        <v>1117</v>
      </c>
      <c r="BV320" t="s">
        <v>86</v>
      </c>
      <c r="BY320">
        <v>59610.45</v>
      </c>
      <c r="CC320" t="s">
        <v>1113</v>
      </c>
      <c r="CD320">
        <v>5141</v>
      </c>
      <c r="CE320" t="s">
        <v>171</v>
      </c>
      <c r="CF320" s="3">
        <v>45896</v>
      </c>
      <c r="CI320">
        <v>7</v>
      </c>
      <c r="CJ320">
        <v>5</v>
      </c>
      <c r="CK320">
        <v>43</v>
      </c>
      <c r="CL320" t="s">
        <v>90</v>
      </c>
    </row>
    <row r="321" spans="1:90" x14ac:dyDescent="0.3">
      <c r="A321" t="s">
        <v>72</v>
      </c>
      <c r="B321" t="s">
        <v>73</v>
      </c>
      <c r="C321" t="s">
        <v>74</v>
      </c>
      <c r="E321" t="str">
        <f>"GAB2027933"</f>
        <v>GAB2027933</v>
      </c>
      <c r="F321" s="3">
        <v>45888</v>
      </c>
      <c r="G321">
        <v>202605</v>
      </c>
      <c r="H321" t="s">
        <v>75</v>
      </c>
      <c r="I321" t="s">
        <v>76</v>
      </c>
      <c r="J321" t="s">
        <v>77</v>
      </c>
      <c r="K321" t="s">
        <v>78</v>
      </c>
      <c r="L321" t="s">
        <v>518</v>
      </c>
      <c r="M321" t="s">
        <v>519</v>
      </c>
      <c r="N321" t="s">
        <v>1118</v>
      </c>
      <c r="O321" t="s">
        <v>82</v>
      </c>
      <c r="P321" t="str">
        <f>"INV-00120234 CT095019         "</f>
        <v xml:space="preserve">INV-00120234 CT095019         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5.87</v>
      </c>
      <c r="AH321">
        <v>0</v>
      </c>
      <c r="AI321">
        <v>0</v>
      </c>
      <c r="AJ321">
        <v>0</v>
      </c>
      <c r="AK321">
        <v>0</v>
      </c>
      <c r="AL321">
        <v>0</v>
      </c>
      <c r="AM321">
        <v>0</v>
      </c>
      <c r="AN321">
        <v>0</v>
      </c>
      <c r="AO321">
        <v>0</v>
      </c>
      <c r="AP321">
        <v>0</v>
      </c>
      <c r="AQ321">
        <v>61.23</v>
      </c>
      <c r="AR321">
        <v>0</v>
      </c>
      <c r="AS321">
        <v>0</v>
      </c>
      <c r="AT321">
        <v>0</v>
      </c>
      <c r="AU321">
        <v>0</v>
      </c>
      <c r="AV321">
        <v>0</v>
      </c>
      <c r="AW321">
        <v>0</v>
      </c>
      <c r="AX321">
        <v>0</v>
      </c>
      <c r="AY321">
        <v>0</v>
      </c>
      <c r="AZ321">
        <v>0</v>
      </c>
      <c r="BA321">
        <v>0</v>
      </c>
      <c r="BB321">
        <v>0</v>
      </c>
      <c r="BC321">
        <v>0</v>
      </c>
      <c r="BD321">
        <v>0</v>
      </c>
      <c r="BE321">
        <v>0</v>
      </c>
      <c r="BF321">
        <v>0</v>
      </c>
      <c r="BG321">
        <v>0</v>
      </c>
      <c r="BH321">
        <v>2</v>
      </c>
      <c r="BI321">
        <v>12.7</v>
      </c>
      <c r="BJ321">
        <v>23.9</v>
      </c>
      <c r="BK321">
        <v>24</v>
      </c>
      <c r="BL321">
        <v>196</v>
      </c>
      <c r="BM321">
        <v>29.4</v>
      </c>
      <c r="BN321">
        <v>225.4</v>
      </c>
      <c r="BO321">
        <v>225.4</v>
      </c>
      <c r="BQ321" t="s">
        <v>168</v>
      </c>
      <c r="BR321" t="s">
        <v>84</v>
      </c>
      <c r="BS321" t="s">
        <v>176</v>
      </c>
      <c r="BY321">
        <v>119414.53</v>
      </c>
      <c r="CC321" t="s">
        <v>519</v>
      </c>
      <c r="CD321">
        <v>5200</v>
      </c>
      <c r="CE321" t="s">
        <v>171</v>
      </c>
      <c r="CI321">
        <v>3</v>
      </c>
      <c r="CJ321" t="s">
        <v>176</v>
      </c>
      <c r="CK321">
        <v>41</v>
      </c>
      <c r="CL321" t="s">
        <v>90</v>
      </c>
    </row>
    <row r="322" spans="1:90" x14ac:dyDescent="0.3">
      <c r="A322" t="s">
        <v>72</v>
      </c>
      <c r="B322" t="s">
        <v>73</v>
      </c>
      <c r="C322" t="s">
        <v>74</v>
      </c>
      <c r="E322" t="str">
        <f>"GAB2027936"</f>
        <v>GAB2027936</v>
      </c>
      <c r="F322" s="3">
        <v>45888</v>
      </c>
      <c r="G322">
        <v>202605</v>
      </c>
      <c r="H322" t="s">
        <v>75</v>
      </c>
      <c r="I322" t="s">
        <v>76</v>
      </c>
      <c r="J322" t="s">
        <v>77</v>
      </c>
      <c r="K322" t="s">
        <v>78</v>
      </c>
      <c r="L322" t="s">
        <v>208</v>
      </c>
      <c r="M322" t="s">
        <v>209</v>
      </c>
      <c r="N322" t="s">
        <v>1119</v>
      </c>
      <c r="O322" t="s">
        <v>82</v>
      </c>
      <c r="P322" t="str">
        <f>"INV-00120222 CT096687         "</f>
        <v xml:space="preserve">INV-00120222 CT096687         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5.87</v>
      </c>
      <c r="AH322">
        <v>0</v>
      </c>
      <c r="AI322">
        <v>0</v>
      </c>
      <c r="AJ322">
        <v>0</v>
      </c>
      <c r="AK322">
        <v>0</v>
      </c>
      <c r="AL322">
        <v>0</v>
      </c>
      <c r="AM322">
        <v>0</v>
      </c>
      <c r="AN322">
        <v>0</v>
      </c>
      <c r="AO322">
        <v>0</v>
      </c>
      <c r="AP322">
        <v>0</v>
      </c>
      <c r="AQ322">
        <v>62.96</v>
      </c>
      <c r="AR322">
        <v>0</v>
      </c>
      <c r="AS322">
        <v>0</v>
      </c>
      <c r="AT322">
        <v>0</v>
      </c>
      <c r="AU322">
        <v>0</v>
      </c>
      <c r="AV322">
        <v>0</v>
      </c>
      <c r="AW322">
        <v>0</v>
      </c>
      <c r="AX322">
        <v>0</v>
      </c>
      <c r="AY322">
        <v>0</v>
      </c>
      <c r="AZ322">
        <v>0</v>
      </c>
      <c r="BA322">
        <v>0</v>
      </c>
      <c r="BB322">
        <v>0</v>
      </c>
      <c r="BC322">
        <v>0</v>
      </c>
      <c r="BD322">
        <v>0</v>
      </c>
      <c r="BE322">
        <v>0</v>
      </c>
      <c r="BF322">
        <v>0</v>
      </c>
      <c r="BG322">
        <v>0</v>
      </c>
      <c r="BH322">
        <v>1</v>
      </c>
      <c r="BI322">
        <v>5</v>
      </c>
      <c r="BJ322">
        <v>12.9</v>
      </c>
      <c r="BK322">
        <v>13</v>
      </c>
      <c r="BL322">
        <v>201.38</v>
      </c>
      <c r="BM322">
        <v>30.21</v>
      </c>
      <c r="BN322">
        <v>231.59</v>
      </c>
      <c r="BO322">
        <v>231.59</v>
      </c>
      <c r="BR322" t="s">
        <v>84</v>
      </c>
      <c r="BS322" s="3">
        <v>45891</v>
      </c>
      <c r="BT322" s="4">
        <v>0.39166666666666666</v>
      </c>
      <c r="BU322" t="s">
        <v>1117</v>
      </c>
      <c r="BV322" t="s">
        <v>86</v>
      </c>
      <c r="BY322">
        <v>64380</v>
      </c>
      <c r="CA322" t="s">
        <v>1120</v>
      </c>
      <c r="CC322" t="s">
        <v>209</v>
      </c>
      <c r="CD322">
        <v>9459</v>
      </c>
      <c r="CE322" t="s">
        <v>386</v>
      </c>
      <c r="CF322" s="3">
        <v>45891</v>
      </c>
      <c r="CI322">
        <v>4</v>
      </c>
      <c r="CJ322">
        <v>3</v>
      </c>
      <c r="CK322">
        <v>43</v>
      </c>
      <c r="CL322" t="s">
        <v>90</v>
      </c>
    </row>
    <row r="323" spans="1:90" x14ac:dyDescent="0.3">
      <c r="A323" t="s">
        <v>72</v>
      </c>
      <c r="B323" t="s">
        <v>73</v>
      </c>
      <c r="C323" t="s">
        <v>74</v>
      </c>
      <c r="E323" t="str">
        <f>"GAB2027938"</f>
        <v>GAB2027938</v>
      </c>
      <c r="F323" s="3">
        <v>45888</v>
      </c>
      <c r="G323">
        <v>202605</v>
      </c>
      <c r="H323" t="s">
        <v>75</v>
      </c>
      <c r="I323" t="s">
        <v>76</v>
      </c>
      <c r="J323" t="s">
        <v>77</v>
      </c>
      <c r="K323" t="s">
        <v>78</v>
      </c>
      <c r="L323" t="s">
        <v>1121</v>
      </c>
      <c r="M323" t="s">
        <v>1122</v>
      </c>
      <c r="N323" t="s">
        <v>1123</v>
      </c>
      <c r="O323" t="s">
        <v>82</v>
      </c>
      <c r="P323" t="str">
        <f>"INV-00120232 00120231 CT095021"</f>
        <v>INV-00120232 00120231 CT095021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5.87</v>
      </c>
      <c r="AH323">
        <v>0</v>
      </c>
      <c r="AI323">
        <v>0</v>
      </c>
      <c r="AJ323">
        <v>0</v>
      </c>
      <c r="AK323">
        <v>0</v>
      </c>
      <c r="AL323">
        <v>0</v>
      </c>
      <c r="AM323">
        <v>0</v>
      </c>
      <c r="AN323">
        <v>0</v>
      </c>
      <c r="AO323">
        <v>0</v>
      </c>
      <c r="AP323">
        <v>0</v>
      </c>
      <c r="AQ323">
        <v>62.96</v>
      </c>
      <c r="AR323">
        <v>0</v>
      </c>
      <c r="AS323">
        <v>0</v>
      </c>
      <c r="AT323">
        <v>0</v>
      </c>
      <c r="AU323">
        <v>0</v>
      </c>
      <c r="AV323">
        <v>0</v>
      </c>
      <c r="AW323">
        <v>0</v>
      </c>
      <c r="AX323">
        <v>0</v>
      </c>
      <c r="AY323">
        <v>0</v>
      </c>
      <c r="AZ323">
        <v>0</v>
      </c>
      <c r="BA323">
        <v>0</v>
      </c>
      <c r="BB323">
        <v>0</v>
      </c>
      <c r="BC323">
        <v>0</v>
      </c>
      <c r="BD323">
        <v>0</v>
      </c>
      <c r="BE323">
        <v>0</v>
      </c>
      <c r="BF323">
        <v>0</v>
      </c>
      <c r="BG323">
        <v>0</v>
      </c>
      <c r="BH323">
        <v>1</v>
      </c>
      <c r="BI323">
        <v>3.8</v>
      </c>
      <c r="BJ323">
        <v>12.4</v>
      </c>
      <c r="BK323">
        <v>13</v>
      </c>
      <c r="BL323">
        <v>201.38</v>
      </c>
      <c r="BM323">
        <v>30.21</v>
      </c>
      <c r="BN323">
        <v>231.59</v>
      </c>
      <c r="BO323">
        <v>231.59</v>
      </c>
      <c r="BQ323" t="s">
        <v>168</v>
      </c>
      <c r="BR323" t="s">
        <v>84</v>
      </c>
      <c r="BS323" s="3">
        <v>45891</v>
      </c>
      <c r="BT323" s="4">
        <v>0.67152777777777772</v>
      </c>
      <c r="BU323" t="s">
        <v>1124</v>
      </c>
      <c r="BV323" t="s">
        <v>86</v>
      </c>
      <c r="BY323">
        <v>62176</v>
      </c>
      <c r="CC323" t="s">
        <v>1122</v>
      </c>
      <c r="CD323">
        <v>5050</v>
      </c>
      <c r="CE323" t="s">
        <v>171</v>
      </c>
      <c r="CF323" s="3">
        <v>45891</v>
      </c>
      <c r="CI323">
        <v>7</v>
      </c>
      <c r="CJ323">
        <v>3</v>
      </c>
      <c r="CK323">
        <v>43</v>
      </c>
      <c r="CL323" t="s">
        <v>90</v>
      </c>
    </row>
    <row r="324" spans="1:90" x14ac:dyDescent="0.3">
      <c r="A324" t="s">
        <v>72</v>
      </c>
      <c r="B324" t="s">
        <v>73</v>
      </c>
      <c r="C324" t="s">
        <v>74</v>
      </c>
      <c r="E324" t="str">
        <f>"GAB2027939"</f>
        <v>GAB2027939</v>
      </c>
      <c r="F324" s="3">
        <v>45888</v>
      </c>
      <c r="G324">
        <v>202605</v>
      </c>
      <c r="H324" t="s">
        <v>75</v>
      </c>
      <c r="I324" t="s">
        <v>76</v>
      </c>
      <c r="J324" t="s">
        <v>77</v>
      </c>
      <c r="K324" t="s">
        <v>78</v>
      </c>
      <c r="L324" t="s">
        <v>918</v>
      </c>
      <c r="M324" t="s">
        <v>919</v>
      </c>
      <c r="N324" t="s">
        <v>1125</v>
      </c>
      <c r="O324" t="s">
        <v>82</v>
      </c>
      <c r="P324" t="str">
        <f>"INV-0012029 0120233 CT094207 0"</f>
        <v>INV-0012029 0120233 CT094207 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5.87</v>
      </c>
      <c r="AH324">
        <v>0</v>
      </c>
      <c r="AI324">
        <v>0</v>
      </c>
      <c r="AJ324">
        <v>0</v>
      </c>
      <c r="AK324">
        <v>0</v>
      </c>
      <c r="AL324">
        <v>0</v>
      </c>
      <c r="AM324">
        <v>0</v>
      </c>
      <c r="AN324">
        <v>0</v>
      </c>
      <c r="AO324">
        <v>0</v>
      </c>
      <c r="AP324">
        <v>0</v>
      </c>
      <c r="AQ324">
        <v>62.96</v>
      </c>
      <c r="AR324">
        <v>0</v>
      </c>
      <c r="AS324">
        <v>0</v>
      </c>
      <c r="AT324">
        <v>0</v>
      </c>
      <c r="AU324">
        <v>0</v>
      </c>
      <c r="AV324">
        <v>0</v>
      </c>
      <c r="AW324">
        <v>0</v>
      </c>
      <c r="AX324">
        <v>0</v>
      </c>
      <c r="AY324">
        <v>0</v>
      </c>
      <c r="AZ324">
        <v>0</v>
      </c>
      <c r="BA324">
        <v>0</v>
      </c>
      <c r="BB324">
        <v>0</v>
      </c>
      <c r="BC324">
        <v>0</v>
      </c>
      <c r="BD324">
        <v>0</v>
      </c>
      <c r="BE324">
        <v>0</v>
      </c>
      <c r="BF324">
        <v>0</v>
      </c>
      <c r="BG324">
        <v>0</v>
      </c>
      <c r="BH324">
        <v>2</v>
      </c>
      <c r="BI324">
        <v>6.9</v>
      </c>
      <c r="BJ324">
        <v>14.1</v>
      </c>
      <c r="BK324">
        <v>15</v>
      </c>
      <c r="BL324">
        <v>201.38</v>
      </c>
      <c r="BM324">
        <v>30.21</v>
      </c>
      <c r="BN324">
        <v>231.59</v>
      </c>
      <c r="BO324">
        <v>231.59</v>
      </c>
      <c r="BR324" t="s">
        <v>84</v>
      </c>
      <c r="BS324" s="3">
        <v>45896</v>
      </c>
      <c r="BT324" s="4">
        <v>0.6645833333333333</v>
      </c>
      <c r="BU324" t="s">
        <v>1126</v>
      </c>
      <c r="BV324" t="s">
        <v>86</v>
      </c>
      <c r="BY324">
        <v>70434</v>
      </c>
      <c r="CC324" t="s">
        <v>919</v>
      </c>
      <c r="CD324">
        <v>5070</v>
      </c>
      <c r="CE324" t="s">
        <v>171</v>
      </c>
      <c r="CF324" s="3">
        <v>45897</v>
      </c>
      <c r="CI324">
        <v>7</v>
      </c>
      <c r="CJ324">
        <v>6</v>
      </c>
      <c r="CK324">
        <v>43</v>
      </c>
      <c r="CL324" t="s">
        <v>90</v>
      </c>
    </row>
    <row r="325" spans="1:90" x14ac:dyDescent="0.3">
      <c r="A325" t="s">
        <v>72</v>
      </c>
      <c r="B325" t="s">
        <v>73</v>
      </c>
      <c r="C325" t="s">
        <v>74</v>
      </c>
      <c r="E325" t="str">
        <f>"GAB2027952"</f>
        <v>GAB2027952</v>
      </c>
      <c r="F325" s="3">
        <v>45888</v>
      </c>
      <c r="G325">
        <v>202605</v>
      </c>
      <c r="H325" t="s">
        <v>75</v>
      </c>
      <c r="I325" t="s">
        <v>76</v>
      </c>
      <c r="J325" t="s">
        <v>77</v>
      </c>
      <c r="K325" t="s">
        <v>78</v>
      </c>
      <c r="L325" t="s">
        <v>226</v>
      </c>
      <c r="M325" t="s">
        <v>227</v>
      </c>
      <c r="N325" t="s">
        <v>1127</v>
      </c>
      <c r="O325" t="s">
        <v>82</v>
      </c>
      <c r="P325" t="str">
        <f>"INV-00120255 CT096659         "</f>
        <v xml:space="preserve">INV-00120255 CT096659         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5.87</v>
      </c>
      <c r="AH325">
        <v>0</v>
      </c>
      <c r="AI325">
        <v>0</v>
      </c>
      <c r="AJ325">
        <v>0</v>
      </c>
      <c r="AK325">
        <v>0</v>
      </c>
      <c r="AL325">
        <v>0</v>
      </c>
      <c r="AM325">
        <v>0</v>
      </c>
      <c r="AN325">
        <v>0</v>
      </c>
      <c r="AO325">
        <v>0</v>
      </c>
      <c r="AP325">
        <v>0</v>
      </c>
      <c r="AQ325">
        <v>44.64</v>
      </c>
      <c r="AR325">
        <v>0</v>
      </c>
      <c r="AS325">
        <v>0</v>
      </c>
      <c r="AT325">
        <v>0</v>
      </c>
      <c r="AU325">
        <v>0</v>
      </c>
      <c r="AV325">
        <v>0</v>
      </c>
      <c r="AW325">
        <v>0</v>
      </c>
      <c r="AX325">
        <v>0</v>
      </c>
      <c r="AY325">
        <v>0</v>
      </c>
      <c r="AZ325">
        <v>0</v>
      </c>
      <c r="BA325">
        <v>0</v>
      </c>
      <c r="BB325">
        <v>0</v>
      </c>
      <c r="BC325">
        <v>0</v>
      </c>
      <c r="BD325">
        <v>0</v>
      </c>
      <c r="BE325">
        <v>0</v>
      </c>
      <c r="BF325">
        <v>0</v>
      </c>
      <c r="BG325">
        <v>0</v>
      </c>
      <c r="BH325">
        <v>1</v>
      </c>
      <c r="BI325">
        <v>0.7</v>
      </c>
      <c r="BJ325">
        <v>2</v>
      </c>
      <c r="BK325">
        <v>2</v>
      </c>
      <c r="BL325">
        <v>144.49</v>
      </c>
      <c r="BM325">
        <v>21.67</v>
      </c>
      <c r="BN325">
        <v>166.16</v>
      </c>
      <c r="BO325">
        <v>166.16</v>
      </c>
      <c r="BQ325" t="s">
        <v>594</v>
      </c>
      <c r="BR325" t="s">
        <v>84</v>
      </c>
      <c r="BS325" s="3">
        <v>45890</v>
      </c>
      <c r="BT325" s="4">
        <v>0.36180555555555555</v>
      </c>
      <c r="BU325" t="s">
        <v>1128</v>
      </c>
      <c r="BV325" t="s">
        <v>86</v>
      </c>
      <c r="BY325">
        <v>9860</v>
      </c>
      <c r="CC325" t="s">
        <v>227</v>
      </c>
      <c r="CD325">
        <v>3610</v>
      </c>
      <c r="CE325" t="s">
        <v>1129</v>
      </c>
      <c r="CF325" s="3">
        <v>45891</v>
      </c>
      <c r="CI325">
        <v>3</v>
      </c>
      <c r="CJ325">
        <v>2</v>
      </c>
      <c r="CK325">
        <v>41</v>
      </c>
      <c r="CL325" t="s">
        <v>90</v>
      </c>
    </row>
    <row r="326" spans="1:90" x14ac:dyDescent="0.3">
      <c r="A326" t="s">
        <v>72</v>
      </c>
      <c r="B326" t="s">
        <v>73</v>
      </c>
      <c r="C326" t="s">
        <v>74</v>
      </c>
      <c r="E326" t="str">
        <f>"GAB2027953"</f>
        <v>GAB2027953</v>
      </c>
      <c r="F326" s="3">
        <v>45888</v>
      </c>
      <c r="G326">
        <v>202605</v>
      </c>
      <c r="H326" t="s">
        <v>75</v>
      </c>
      <c r="I326" t="s">
        <v>76</v>
      </c>
      <c r="J326" t="s">
        <v>77</v>
      </c>
      <c r="K326" t="s">
        <v>78</v>
      </c>
      <c r="L326" t="s">
        <v>190</v>
      </c>
      <c r="M326" t="s">
        <v>191</v>
      </c>
      <c r="N326" t="s">
        <v>192</v>
      </c>
      <c r="O326" t="s">
        <v>82</v>
      </c>
      <c r="P326" t="str">
        <f>"INV-00120253 CT096697         "</f>
        <v xml:space="preserve">INV-00120253 CT096697         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5.87</v>
      </c>
      <c r="AH326">
        <v>0</v>
      </c>
      <c r="AI326">
        <v>0</v>
      </c>
      <c r="AJ326">
        <v>0</v>
      </c>
      <c r="AK326">
        <v>0</v>
      </c>
      <c r="AL326">
        <v>0</v>
      </c>
      <c r="AM326">
        <v>0</v>
      </c>
      <c r="AN326">
        <v>0</v>
      </c>
      <c r="AO326">
        <v>0</v>
      </c>
      <c r="AP326">
        <v>0</v>
      </c>
      <c r="AQ326">
        <v>63.07</v>
      </c>
      <c r="AR326">
        <v>0</v>
      </c>
      <c r="AS326">
        <v>0</v>
      </c>
      <c r="AT326">
        <v>0</v>
      </c>
      <c r="AU326">
        <v>0</v>
      </c>
      <c r="AV326">
        <v>0</v>
      </c>
      <c r="AW326">
        <v>0</v>
      </c>
      <c r="AX326">
        <v>0</v>
      </c>
      <c r="AY326">
        <v>0</v>
      </c>
      <c r="AZ326">
        <v>0</v>
      </c>
      <c r="BA326">
        <v>0</v>
      </c>
      <c r="BB326">
        <v>0</v>
      </c>
      <c r="BC326">
        <v>0</v>
      </c>
      <c r="BD326">
        <v>0</v>
      </c>
      <c r="BE326">
        <v>0</v>
      </c>
      <c r="BF326">
        <v>0</v>
      </c>
      <c r="BG326">
        <v>0</v>
      </c>
      <c r="BH326">
        <v>1</v>
      </c>
      <c r="BI326">
        <v>10.3</v>
      </c>
      <c r="BJ326">
        <v>24.3</v>
      </c>
      <c r="BK326">
        <v>25</v>
      </c>
      <c r="BL326">
        <v>201.72</v>
      </c>
      <c r="BM326">
        <v>30.26</v>
      </c>
      <c r="BN326">
        <v>231.98</v>
      </c>
      <c r="BO326">
        <v>231.98</v>
      </c>
      <c r="BQ326" t="s">
        <v>193</v>
      </c>
      <c r="BR326" t="s">
        <v>84</v>
      </c>
      <c r="BS326" s="3">
        <v>45890</v>
      </c>
      <c r="BT326" s="4">
        <v>0.35069444444444442</v>
      </c>
      <c r="BU326" t="s">
        <v>388</v>
      </c>
      <c r="BV326" t="s">
        <v>86</v>
      </c>
      <c r="BY326">
        <v>121457.35</v>
      </c>
      <c r="CA326" t="s">
        <v>195</v>
      </c>
      <c r="CC326" t="s">
        <v>191</v>
      </c>
      <c r="CD326" s="5" t="s">
        <v>196</v>
      </c>
      <c r="CE326" t="s">
        <v>171</v>
      </c>
      <c r="CF326" s="3">
        <v>45890</v>
      </c>
      <c r="CI326">
        <v>3</v>
      </c>
      <c r="CJ326">
        <v>2</v>
      </c>
      <c r="CK326">
        <v>41</v>
      </c>
      <c r="CL326" t="s">
        <v>90</v>
      </c>
    </row>
    <row r="327" spans="1:90" x14ac:dyDescent="0.3">
      <c r="A327" t="s">
        <v>72</v>
      </c>
      <c r="B327" t="s">
        <v>73</v>
      </c>
      <c r="C327" t="s">
        <v>74</v>
      </c>
      <c r="E327" t="str">
        <f>"GAB2027954"</f>
        <v>GAB2027954</v>
      </c>
      <c r="F327" s="3">
        <v>45888</v>
      </c>
      <c r="G327">
        <v>202605</v>
      </c>
      <c r="H327" t="s">
        <v>75</v>
      </c>
      <c r="I327" t="s">
        <v>76</v>
      </c>
      <c r="J327" t="s">
        <v>77</v>
      </c>
      <c r="K327" t="s">
        <v>78</v>
      </c>
      <c r="L327" t="s">
        <v>444</v>
      </c>
      <c r="M327" t="s">
        <v>445</v>
      </c>
      <c r="N327" t="s">
        <v>1130</v>
      </c>
      <c r="O327" t="s">
        <v>82</v>
      </c>
      <c r="P327" t="str">
        <f>"INV-000410 00405              "</f>
        <v xml:space="preserve">INV-000410 00405              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5.87</v>
      </c>
      <c r="AH327">
        <v>0</v>
      </c>
      <c r="AI327">
        <v>0</v>
      </c>
      <c r="AJ327">
        <v>0</v>
      </c>
      <c r="AK327">
        <v>0</v>
      </c>
      <c r="AL327">
        <v>0</v>
      </c>
      <c r="AM327">
        <v>0</v>
      </c>
      <c r="AN327">
        <v>0</v>
      </c>
      <c r="AO327">
        <v>0</v>
      </c>
      <c r="AP327">
        <v>0</v>
      </c>
      <c r="AQ327">
        <v>62.96</v>
      </c>
      <c r="AR327">
        <v>0</v>
      </c>
      <c r="AS327">
        <v>0</v>
      </c>
      <c r="AT327">
        <v>0</v>
      </c>
      <c r="AU327">
        <v>0</v>
      </c>
      <c r="AV327">
        <v>0</v>
      </c>
      <c r="AW327">
        <v>0</v>
      </c>
      <c r="AX327">
        <v>0</v>
      </c>
      <c r="AY327">
        <v>0</v>
      </c>
      <c r="AZ327">
        <v>0</v>
      </c>
      <c r="BA327">
        <v>0</v>
      </c>
      <c r="BB327">
        <v>0</v>
      </c>
      <c r="BC327">
        <v>0</v>
      </c>
      <c r="BD327">
        <v>0</v>
      </c>
      <c r="BE327">
        <v>0</v>
      </c>
      <c r="BF327">
        <v>0</v>
      </c>
      <c r="BG327">
        <v>0</v>
      </c>
      <c r="BH327">
        <v>1</v>
      </c>
      <c r="BI327">
        <v>9.4</v>
      </c>
      <c r="BJ327">
        <v>12.8</v>
      </c>
      <c r="BK327">
        <v>13</v>
      </c>
      <c r="BL327">
        <v>201.38</v>
      </c>
      <c r="BM327">
        <v>30.21</v>
      </c>
      <c r="BN327">
        <v>231.59</v>
      </c>
      <c r="BO327">
        <v>231.59</v>
      </c>
      <c r="BQ327" t="s">
        <v>1131</v>
      </c>
      <c r="BR327" t="s">
        <v>84</v>
      </c>
      <c r="BS327" s="3">
        <v>45890</v>
      </c>
      <c r="BT327" s="4">
        <v>0.34722222222222221</v>
      </c>
      <c r="BU327" t="s">
        <v>1132</v>
      </c>
      <c r="BV327" t="s">
        <v>86</v>
      </c>
      <c r="BY327">
        <v>63974.400000000001</v>
      </c>
      <c r="CA327" t="s">
        <v>449</v>
      </c>
      <c r="CC327" t="s">
        <v>445</v>
      </c>
      <c r="CD327" s="5" t="s">
        <v>450</v>
      </c>
      <c r="CE327" t="s">
        <v>200</v>
      </c>
      <c r="CF327" s="3">
        <v>45891</v>
      </c>
      <c r="CI327">
        <v>3</v>
      </c>
      <c r="CJ327">
        <v>2</v>
      </c>
      <c r="CK327">
        <v>43</v>
      </c>
      <c r="CL327" t="s">
        <v>90</v>
      </c>
    </row>
    <row r="328" spans="1:90" x14ac:dyDescent="0.3">
      <c r="A328" t="s">
        <v>72</v>
      </c>
      <c r="B328" t="s">
        <v>73</v>
      </c>
      <c r="C328" t="s">
        <v>74</v>
      </c>
      <c r="E328" t="str">
        <f>"GAB2027963"</f>
        <v>GAB2027963</v>
      </c>
      <c r="F328" s="3">
        <v>45888</v>
      </c>
      <c r="G328">
        <v>202605</v>
      </c>
      <c r="H328" t="s">
        <v>75</v>
      </c>
      <c r="I328" t="s">
        <v>76</v>
      </c>
      <c r="J328" t="s">
        <v>77</v>
      </c>
      <c r="K328" t="s">
        <v>78</v>
      </c>
      <c r="L328" t="s">
        <v>345</v>
      </c>
      <c r="M328" t="s">
        <v>346</v>
      </c>
      <c r="N328" t="s">
        <v>1028</v>
      </c>
      <c r="O328" t="s">
        <v>82</v>
      </c>
      <c r="P328" t="str">
        <f>"INV-00120266 CT096715         "</f>
        <v xml:space="preserve">INV-00120266 CT096715         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5.87</v>
      </c>
      <c r="AH328">
        <v>0</v>
      </c>
      <c r="AI328">
        <v>0</v>
      </c>
      <c r="AJ328">
        <v>0</v>
      </c>
      <c r="AK328">
        <v>0</v>
      </c>
      <c r="AL328">
        <v>0</v>
      </c>
      <c r="AM328">
        <v>0</v>
      </c>
      <c r="AN328">
        <v>0</v>
      </c>
      <c r="AO328">
        <v>0</v>
      </c>
      <c r="AP328">
        <v>0</v>
      </c>
      <c r="AQ328">
        <v>64.91</v>
      </c>
      <c r="AR328">
        <v>0</v>
      </c>
      <c r="AS328">
        <v>0</v>
      </c>
      <c r="AT328">
        <v>0</v>
      </c>
      <c r="AU328">
        <v>0</v>
      </c>
      <c r="AV328">
        <v>0</v>
      </c>
      <c r="AW328">
        <v>0</v>
      </c>
      <c r="AX328">
        <v>0</v>
      </c>
      <c r="AY328">
        <v>0</v>
      </c>
      <c r="AZ328">
        <v>0</v>
      </c>
      <c r="BA328">
        <v>0</v>
      </c>
      <c r="BB328">
        <v>0</v>
      </c>
      <c r="BC328">
        <v>0</v>
      </c>
      <c r="BD328">
        <v>0</v>
      </c>
      <c r="BE328">
        <v>0</v>
      </c>
      <c r="BF328">
        <v>0</v>
      </c>
      <c r="BG328">
        <v>0</v>
      </c>
      <c r="BH328">
        <v>2</v>
      </c>
      <c r="BI328">
        <v>8.3000000000000007</v>
      </c>
      <c r="BJ328">
        <v>25.1</v>
      </c>
      <c r="BK328">
        <v>26</v>
      </c>
      <c r="BL328">
        <v>207.44</v>
      </c>
      <c r="BM328">
        <v>31.12</v>
      </c>
      <c r="BN328">
        <v>238.56</v>
      </c>
      <c r="BO328">
        <v>238.56</v>
      </c>
      <c r="BR328" t="s">
        <v>84</v>
      </c>
      <c r="BS328" s="3">
        <v>45890</v>
      </c>
      <c r="BT328" s="4">
        <v>0.65902777777777777</v>
      </c>
      <c r="BU328" t="s">
        <v>1133</v>
      </c>
      <c r="BV328" t="s">
        <v>86</v>
      </c>
      <c r="BY328">
        <v>125509.79</v>
      </c>
      <c r="CC328" t="s">
        <v>346</v>
      </c>
      <c r="CD328">
        <v>9301</v>
      </c>
      <c r="CE328" t="s">
        <v>386</v>
      </c>
      <c r="CF328" s="3">
        <v>45891</v>
      </c>
      <c r="CI328">
        <v>4</v>
      </c>
      <c r="CJ328">
        <v>2</v>
      </c>
      <c r="CK328">
        <v>41</v>
      </c>
      <c r="CL328" t="s">
        <v>90</v>
      </c>
    </row>
    <row r="329" spans="1:90" x14ac:dyDescent="0.3">
      <c r="A329" t="s">
        <v>72</v>
      </c>
      <c r="B329" t="s">
        <v>73</v>
      </c>
      <c r="C329" t="s">
        <v>74</v>
      </c>
      <c r="E329" t="str">
        <f>"GAB2027965"</f>
        <v>GAB2027965</v>
      </c>
      <c r="F329" s="3">
        <v>45888</v>
      </c>
      <c r="G329">
        <v>202605</v>
      </c>
      <c r="H329" t="s">
        <v>75</v>
      </c>
      <c r="I329" t="s">
        <v>76</v>
      </c>
      <c r="J329" t="s">
        <v>77</v>
      </c>
      <c r="K329" t="s">
        <v>78</v>
      </c>
      <c r="L329" t="s">
        <v>858</v>
      </c>
      <c r="M329" t="s">
        <v>859</v>
      </c>
      <c r="N329" t="s">
        <v>1134</v>
      </c>
      <c r="O329" t="s">
        <v>82</v>
      </c>
      <c r="P329" t="str">
        <f>"INV-00120271 CT096718         "</f>
        <v xml:space="preserve">INV-00120271 CT096718         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5.87</v>
      </c>
      <c r="AH329">
        <v>0</v>
      </c>
      <c r="AI329">
        <v>0</v>
      </c>
      <c r="AJ329">
        <v>0</v>
      </c>
      <c r="AK329">
        <v>0</v>
      </c>
      <c r="AL329">
        <v>0</v>
      </c>
      <c r="AM329">
        <v>0</v>
      </c>
      <c r="AN329">
        <v>0</v>
      </c>
      <c r="AO329">
        <v>0</v>
      </c>
      <c r="AP329">
        <v>0</v>
      </c>
      <c r="AQ329">
        <v>62.96</v>
      </c>
      <c r="AR329">
        <v>0</v>
      </c>
      <c r="AS329">
        <v>0</v>
      </c>
      <c r="AT329">
        <v>0</v>
      </c>
      <c r="AU329">
        <v>0</v>
      </c>
      <c r="AV329">
        <v>0</v>
      </c>
      <c r="AW329">
        <v>0</v>
      </c>
      <c r="AX329">
        <v>0</v>
      </c>
      <c r="AY329">
        <v>0</v>
      </c>
      <c r="AZ329">
        <v>0</v>
      </c>
      <c r="BA329">
        <v>0</v>
      </c>
      <c r="BB329">
        <v>0</v>
      </c>
      <c r="BC329">
        <v>0</v>
      </c>
      <c r="BD329">
        <v>0</v>
      </c>
      <c r="BE329">
        <v>0</v>
      </c>
      <c r="BF329">
        <v>0</v>
      </c>
      <c r="BG329">
        <v>0</v>
      </c>
      <c r="BH329">
        <v>1</v>
      </c>
      <c r="BI329">
        <v>3.9</v>
      </c>
      <c r="BJ329">
        <v>12.5</v>
      </c>
      <c r="BK329">
        <v>13</v>
      </c>
      <c r="BL329">
        <v>201.38</v>
      </c>
      <c r="BM329">
        <v>30.21</v>
      </c>
      <c r="BN329">
        <v>231.59</v>
      </c>
      <c r="BO329">
        <v>231.59</v>
      </c>
      <c r="BR329" t="s">
        <v>84</v>
      </c>
      <c r="BS329" s="3">
        <v>45891</v>
      </c>
      <c r="BT329" s="4">
        <v>0.36527777777777776</v>
      </c>
      <c r="BU329" t="s">
        <v>862</v>
      </c>
      <c r="BV329" t="s">
        <v>86</v>
      </c>
      <c r="BY329">
        <v>62429.25</v>
      </c>
      <c r="CA329" t="s">
        <v>863</v>
      </c>
      <c r="CC329" t="s">
        <v>859</v>
      </c>
      <c r="CD329">
        <v>3900</v>
      </c>
      <c r="CE329" t="s">
        <v>386</v>
      </c>
      <c r="CF329" s="3">
        <v>45891</v>
      </c>
      <c r="CI329">
        <v>4</v>
      </c>
      <c r="CJ329">
        <v>3</v>
      </c>
      <c r="CK329">
        <v>43</v>
      </c>
      <c r="CL329" t="s">
        <v>90</v>
      </c>
    </row>
    <row r="330" spans="1:90" x14ac:dyDescent="0.3">
      <c r="A330" t="s">
        <v>72</v>
      </c>
      <c r="B330" t="s">
        <v>73</v>
      </c>
      <c r="C330" t="s">
        <v>74</v>
      </c>
      <c r="E330" t="str">
        <f>"GAB2027930"</f>
        <v>GAB2027930</v>
      </c>
      <c r="F330" s="3">
        <v>45888</v>
      </c>
      <c r="G330">
        <v>202605</v>
      </c>
      <c r="H330" t="s">
        <v>75</v>
      </c>
      <c r="I330" t="s">
        <v>76</v>
      </c>
      <c r="J330" t="s">
        <v>77</v>
      </c>
      <c r="K330" t="s">
        <v>78</v>
      </c>
      <c r="L330" t="s">
        <v>1135</v>
      </c>
      <c r="M330" t="s">
        <v>1136</v>
      </c>
      <c r="N330" t="s">
        <v>1137</v>
      </c>
      <c r="O330" t="s">
        <v>100</v>
      </c>
      <c r="P330" t="str">
        <f>"INV-00120239 CT096700         "</f>
        <v xml:space="preserve">INV-00120239 CT096700         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  <c r="AI330">
        <v>0</v>
      </c>
      <c r="AJ330">
        <v>0</v>
      </c>
      <c r="AK330">
        <v>0</v>
      </c>
      <c r="AL330">
        <v>0</v>
      </c>
      <c r="AM330">
        <v>0</v>
      </c>
      <c r="AN330">
        <v>0</v>
      </c>
      <c r="AO330">
        <v>0</v>
      </c>
      <c r="AP330">
        <v>0</v>
      </c>
      <c r="AQ330">
        <v>105.32</v>
      </c>
      <c r="AR330">
        <v>0</v>
      </c>
      <c r="AS330">
        <v>0</v>
      </c>
      <c r="AT330">
        <v>0</v>
      </c>
      <c r="AU330">
        <v>0</v>
      </c>
      <c r="AV330">
        <v>0</v>
      </c>
      <c r="AW330">
        <v>0</v>
      </c>
      <c r="AX330">
        <v>0</v>
      </c>
      <c r="AY330">
        <v>0</v>
      </c>
      <c r="AZ330">
        <v>0</v>
      </c>
      <c r="BA330">
        <v>0</v>
      </c>
      <c r="BB330">
        <v>0</v>
      </c>
      <c r="BC330">
        <v>0</v>
      </c>
      <c r="BD330">
        <v>0</v>
      </c>
      <c r="BE330">
        <v>0</v>
      </c>
      <c r="BF330">
        <v>0</v>
      </c>
      <c r="BG330">
        <v>0</v>
      </c>
      <c r="BH330">
        <v>2</v>
      </c>
      <c r="BI330">
        <v>1.2</v>
      </c>
      <c r="BJ330">
        <v>4.7</v>
      </c>
      <c r="BK330">
        <v>5</v>
      </c>
      <c r="BL330">
        <v>327.04000000000002</v>
      </c>
      <c r="BM330">
        <v>49.06</v>
      </c>
      <c r="BN330">
        <v>376.1</v>
      </c>
      <c r="BO330">
        <v>376.1</v>
      </c>
      <c r="BQ330" t="s">
        <v>1138</v>
      </c>
      <c r="BR330" t="s">
        <v>84</v>
      </c>
      <c r="BS330" s="3">
        <v>45890</v>
      </c>
      <c r="BT330" s="4">
        <v>0.42083333333333334</v>
      </c>
      <c r="BU330" t="s">
        <v>1139</v>
      </c>
      <c r="BV330" t="s">
        <v>90</v>
      </c>
      <c r="BY330">
        <v>23427.93</v>
      </c>
      <c r="BZ330" t="s">
        <v>102</v>
      </c>
      <c r="CA330" t="s">
        <v>1140</v>
      </c>
      <c r="CC330" t="s">
        <v>1136</v>
      </c>
      <c r="CD330">
        <v>2300</v>
      </c>
      <c r="CE330" t="s">
        <v>116</v>
      </c>
      <c r="CF330" s="3">
        <v>45891</v>
      </c>
      <c r="CI330">
        <v>1</v>
      </c>
      <c r="CJ330">
        <v>2</v>
      </c>
      <c r="CK330">
        <v>23</v>
      </c>
      <c r="CL330" t="s">
        <v>90</v>
      </c>
    </row>
    <row r="331" spans="1:90" x14ac:dyDescent="0.3">
      <c r="A331" t="s">
        <v>72</v>
      </c>
      <c r="B331" t="s">
        <v>73</v>
      </c>
      <c r="C331" t="s">
        <v>74</v>
      </c>
      <c r="E331" t="str">
        <f>"GAB2027940"</f>
        <v>GAB2027940</v>
      </c>
      <c r="F331" s="3">
        <v>45888</v>
      </c>
      <c r="G331">
        <v>202605</v>
      </c>
      <c r="H331" t="s">
        <v>75</v>
      </c>
      <c r="I331" t="s">
        <v>76</v>
      </c>
      <c r="J331" t="s">
        <v>77</v>
      </c>
      <c r="K331" t="s">
        <v>78</v>
      </c>
      <c r="L331" t="s">
        <v>415</v>
      </c>
      <c r="M331" t="s">
        <v>416</v>
      </c>
      <c r="N331" t="s">
        <v>962</v>
      </c>
      <c r="O331" t="s">
        <v>100</v>
      </c>
      <c r="P331" t="str">
        <f>"INV-0120249 CT096706          "</f>
        <v xml:space="preserve">INV-0120249 CT096706          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  <c r="AI331">
        <v>0</v>
      </c>
      <c r="AJ331">
        <v>0</v>
      </c>
      <c r="AK331">
        <v>0</v>
      </c>
      <c r="AL331">
        <v>0</v>
      </c>
      <c r="AM331">
        <v>0</v>
      </c>
      <c r="AN331">
        <v>0</v>
      </c>
      <c r="AO331">
        <v>0</v>
      </c>
      <c r="AP331">
        <v>0</v>
      </c>
      <c r="AQ331">
        <v>23.09</v>
      </c>
      <c r="AR331">
        <v>0</v>
      </c>
      <c r="AS331">
        <v>0</v>
      </c>
      <c r="AT331">
        <v>0</v>
      </c>
      <c r="AU331">
        <v>0</v>
      </c>
      <c r="AV331">
        <v>0</v>
      </c>
      <c r="AW331">
        <v>0</v>
      </c>
      <c r="AX331">
        <v>0</v>
      </c>
      <c r="AY331">
        <v>0</v>
      </c>
      <c r="AZ331">
        <v>0</v>
      </c>
      <c r="BA331">
        <v>0</v>
      </c>
      <c r="BB331">
        <v>0</v>
      </c>
      <c r="BC331">
        <v>0</v>
      </c>
      <c r="BD331">
        <v>0</v>
      </c>
      <c r="BE331">
        <v>0</v>
      </c>
      <c r="BF331">
        <v>0</v>
      </c>
      <c r="BG331">
        <v>0</v>
      </c>
      <c r="BH331">
        <v>1</v>
      </c>
      <c r="BI331">
        <v>0.2</v>
      </c>
      <c r="BJ331">
        <v>1.7</v>
      </c>
      <c r="BK331">
        <v>2</v>
      </c>
      <c r="BL331">
        <v>71.69</v>
      </c>
      <c r="BM331">
        <v>10.75</v>
      </c>
      <c r="BN331">
        <v>82.44</v>
      </c>
      <c r="BO331">
        <v>82.44</v>
      </c>
      <c r="BQ331" t="s">
        <v>963</v>
      </c>
      <c r="BR331" t="s">
        <v>84</v>
      </c>
      <c r="BS331" s="3">
        <v>45889</v>
      </c>
      <c r="BT331" s="4">
        <v>0.36319444444444443</v>
      </c>
      <c r="BU331" t="s">
        <v>1141</v>
      </c>
      <c r="BV331" t="s">
        <v>86</v>
      </c>
      <c r="BY331">
        <v>8438.7999999999993</v>
      </c>
      <c r="BZ331" t="s">
        <v>102</v>
      </c>
      <c r="CA331" t="s">
        <v>1142</v>
      </c>
      <c r="CC331" t="s">
        <v>416</v>
      </c>
      <c r="CD331">
        <v>2196</v>
      </c>
      <c r="CE331" t="s">
        <v>1143</v>
      </c>
      <c r="CF331" s="3">
        <v>45889</v>
      </c>
      <c r="CI331">
        <v>1</v>
      </c>
      <c r="CJ331">
        <v>1</v>
      </c>
      <c r="CK331">
        <v>21</v>
      </c>
      <c r="CL331" t="s">
        <v>90</v>
      </c>
    </row>
    <row r="332" spans="1:90" x14ac:dyDescent="0.3">
      <c r="A332" t="s">
        <v>72</v>
      </c>
      <c r="B332" t="s">
        <v>73</v>
      </c>
      <c r="C332" t="s">
        <v>74</v>
      </c>
      <c r="E332" t="str">
        <f>"GAB2027941"</f>
        <v>GAB2027941</v>
      </c>
      <c r="F332" s="3">
        <v>45888</v>
      </c>
      <c r="G332">
        <v>202605</v>
      </c>
      <c r="H332" t="s">
        <v>75</v>
      </c>
      <c r="I332" t="s">
        <v>76</v>
      </c>
      <c r="J332" t="s">
        <v>77</v>
      </c>
      <c r="K332" t="s">
        <v>78</v>
      </c>
      <c r="L332" t="s">
        <v>693</v>
      </c>
      <c r="M332" t="s">
        <v>694</v>
      </c>
      <c r="N332" t="s">
        <v>695</v>
      </c>
      <c r="O332" t="s">
        <v>100</v>
      </c>
      <c r="P332" t="str">
        <f>"INV-00120248 CT096708         "</f>
        <v xml:space="preserve">INV-00120248 CT096708         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  <c r="AI332">
        <v>0</v>
      </c>
      <c r="AJ332">
        <v>0</v>
      </c>
      <c r="AK332">
        <v>0</v>
      </c>
      <c r="AL332">
        <v>0</v>
      </c>
      <c r="AM332">
        <v>0</v>
      </c>
      <c r="AN332">
        <v>0</v>
      </c>
      <c r="AO332">
        <v>0</v>
      </c>
      <c r="AP332">
        <v>0</v>
      </c>
      <c r="AQ332">
        <v>44.73</v>
      </c>
      <c r="AR332">
        <v>0</v>
      </c>
      <c r="AS332">
        <v>0</v>
      </c>
      <c r="AT332">
        <v>0</v>
      </c>
      <c r="AU332">
        <v>0</v>
      </c>
      <c r="AV332">
        <v>0</v>
      </c>
      <c r="AW332">
        <v>0</v>
      </c>
      <c r="AX332">
        <v>0</v>
      </c>
      <c r="AY332">
        <v>0</v>
      </c>
      <c r="AZ332">
        <v>0</v>
      </c>
      <c r="BA332">
        <v>0</v>
      </c>
      <c r="BB332">
        <v>0</v>
      </c>
      <c r="BC332">
        <v>0</v>
      </c>
      <c r="BD332">
        <v>0</v>
      </c>
      <c r="BE332">
        <v>0</v>
      </c>
      <c r="BF332">
        <v>0</v>
      </c>
      <c r="BG332">
        <v>0</v>
      </c>
      <c r="BH332">
        <v>1</v>
      </c>
      <c r="BI332">
        <v>0.2</v>
      </c>
      <c r="BJ332">
        <v>1.8</v>
      </c>
      <c r="BK332">
        <v>2</v>
      </c>
      <c r="BL332">
        <v>138.88999999999999</v>
      </c>
      <c r="BM332">
        <v>20.83</v>
      </c>
      <c r="BN332">
        <v>159.72</v>
      </c>
      <c r="BO332">
        <v>159.72</v>
      </c>
      <c r="BQ332" t="s">
        <v>696</v>
      </c>
      <c r="BR332" t="s">
        <v>84</v>
      </c>
      <c r="BS332" s="3">
        <v>45889</v>
      </c>
      <c r="BT332" s="4">
        <v>0.35625000000000001</v>
      </c>
      <c r="BU332" t="s">
        <v>1144</v>
      </c>
      <c r="BV332" t="s">
        <v>86</v>
      </c>
      <c r="BY332">
        <v>9222.84</v>
      </c>
      <c r="BZ332" t="s">
        <v>102</v>
      </c>
      <c r="CA332" t="s">
        <v>698</v>
      </c>
      <c r="CC332" t="s">
        <v>694</v>
      </c>
      <c r="CD332">
        <v>2515</v>
      </c>
      <c r="CE332" t="s">
        <v>116</v>
      </c>
      <c r="CF332" s="3">
        <v>45890</v>
      </c>
      <c r="CI332">
        <v>1</v>
      </c>
      <c r="CJ332">
        <v>1</v>
      </c>
      <c r="CK332">
        <v>23</v>
      </c>
      <c r="CL332" t="s">
        <v>90</v>
      </c>
    </row>
    <row r="333" spans="1:90" x14ac:dyDescent="0.3">
      <c r="A333" t="s">
        <v>72</v>
      </c>
      <c r="B333" t="s">
        <v>73</v>
      </c>
      <c r="C333" t="s">
        <v>74</v>
      </c>
      <c r="E333" t="str">
        <f>"GAB2027942"</f>
        <v>GAB2027942</v>
      </c>
      <c r="F333" s="3">
        <v>45888</v>
      </c>
      <c r="G333">
        <v>202605</v>
      </c>
      <c r="H333" t="s">
        <v>75</v>
      </c>
      <c r="I333" t="s">
        <v>76</v>
      </c>
      <c r="J333" t="s">
        <v>77</v>
      </c>
      <c r="K333" t="s">
        <v>78</v>
      </c>
      <c r="L333" t="s">
        <v>75</v>
      </c>
      <c r="M333" t="s">
        <v>76</v>
      </c>
      <c r="N333" t="s">
        <v>1145</v>
      </c>
      <c r="O333" t="s">
        <v>100</v>
      </c>
      <c r="P333" t="str">
        <f>"INV-00120247 CT096709         "</f>
        <v xml:space="preserve">INV-00120247 CT096709         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0</v>
      </c>
      <c r="W333">
        <v>0</v>
      </c>
      <c r="X333">
        <v>0</v>
      </c>
      <c r="Y333">
        <v>0</v>
      </c>
      <c r="Z333">
        <v>0</v>
      </c>
      <c r="AA333">
        <v>0</v>
      </c>
      <c r="AB333">
        <v>0</v>
      </c>
      <c r="AC333">
        <v>0</v>
      </c>
      <c r="AD333">
        <v>0</v>
      </c>
      <c r="AE333">
        <v>0</v>
      </c>
      <c r="AF333">
        <v>0</v>
      </c>
      <c r="AG333">
        <v>0</v>
      </c>
      <c r="AH333">
        <v>0</v>
      </c>
      <c r="AI333">
        <v>0</v>
      </c>
      <c r="AJ333">
        <v>0</v>
      </c>
      <c r="AK333">
        <v>0</v>
      </c>
      <c r="AL333">
        <v>0</v>
      </c>
      <c r="AM333">
        <v>0</v>
      </c>
      <c r="AN333">
        <v>0</v>
      </c>
      <c r="AO333">
        <v>0</v>
      </c>
      <c r="AP333">
        <v>0</v>
      </c>
      <c r="AQ333">
        <v>18.03</v>
      </c>
      <c r="AR333">
        <v>0</v>
      </c>
      <c r="AS333">
        <v>0</v>
      </c>
      <c r="AT333">
        <v>0</v>
      </c>
      <c r="AU333">
        <v>0</v>
      </c>
      <c r="AV333">
        <v>0</v>
      </c>
      <c r="AW333">
        <v>0</v>
      </c>
      <c r="AX333">
        <v>0</v>
      </c>
      <c r="AY333">
        <v>0</v>
      </c>
      <c r="AZ333">
        <v>0</v>
      </c>
      <c r="BA333">
        <v>0</v>
      </c>
      <c r="BB333">
        <v>0</v>
      </c>
      <c r="BC333">
        <v>0</v>
      </c>
      <c r="BD333">
        <v>0</v>
      </c>
      <c r="BE333">
        <v>0</v>
      </c>
      <c r="BF333">
        <v>0</v>
      </c>
      <c r="BG333">
        <v>0</v>
      </c>
      <c r="BH333">
        <v>1</v>
      </c>
      <c r="BI333">
        <v>0.2</v>
      </c>
      <c r="BJ333">
        <v>2</v>
      </c>
      <c r="BK333">
        <v>2</v>
      </c>
      <c r="BL333">
        <v>55.99</v>
      </c>
      <c r="BM333">
        <v>8.4</v>
      </c>
      <c r="BN333">
        <v>64.39</v>
      </c>
      <c r="BO333">
        <v>64.39</v>
      </c>
      <c r="BR333" t="s">
        <v>84</v>
      </c>
      <c r="BS333" s="3">
        <v>45889</v>
      </c>
      <c r="BT333" s="4">
        <v>0.375</v>
      </c>
      <c r="BU333" t="s">
        <v>1146</v>
      </c>
      <c r="BV333" t="s">
        <v>86</v>
      </c>
      <c r="BY333">
        <v>10116.36</v>
      </c>
      <c r="BZ333" t="s">
        <v>102</v>
      </c>
      <c r="CA333" t="s">
        <v>1147</v>
      </c>
      <c r="CC333" t="s">
        <v>76</v>
      </c>
      <c r="CD333">
        <v>8001</v>
      </c>
      <c r="CE333" t="s">
        <v>116</v>
      </c>
      <c r="CF333" s="3">
        <v>45890</v>
      </c>
      <c r="CI333">
        <v>1</v>
      </c>
      <c r="CJ333">
        <v>1</v>
      </c>
      <c r="CK333">
        <v>22</v>
      </c>
      <c r="CL333" t="s">
        <v>90</v>
      </c>
    </row>
    <row r="334" spans="1:90" x14ac:dyDescent="0.3">
      <c r="A334" t="s">
        <v>72</v>
      </c>
      <c r="B334" t="s">
        <v>73</v>
      </c>
      <c r="C334" t="s">
        <v>74</v>
      </c>
      <c r="E334" t="str">
        <f>"GAB2027943"</f>
        <v>GAB2027943</v>
      </c>
      <c r="F334" s="3">
        <v>45888</v>
      </c>
      <c r="G334">
        <v>202605</v>
      </c>
      <c r="H334" t="s">
        <v>75</v>
      </c>
      <c r="I334" t="s">
        <v>76</v>
      </c>
      <c r="J334" t="s">
        <v>77</v>
      </c>
      <c r="K334" t="s">
        <v>78</v>
      </c>
      <c r="L334" t="s">
        <v>407</v>
      </c>
      <c r="M334" t="s">
        <v>408</v>
      </c>
      <c r="N334" t="s">
        <v>792</v>
      </c>
      <c r="O334" t="s">
        <v>100</v>
      </c>
      <c r="P334" t="str">
        <f>"INV-00120246 CT096702         "</f>
        <v xml:space="preserve">INV-00120246 CT096702         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0</v>
      </c>
      <c r="W334">
        <v>0</v>
      </c>
      <c r="X334">
        <v>0</v>
      </c>
      <c r="Y334">
        <v>0</v>
      </c>
      <c r="Z334">
        <v>0</v>
      </c>
      <c r="AA334">
        <v>0</v>
      </c>
      <c r="AB334">
        <v>0</v>
      </c>
      <c r="AC334">
        <v>0</v>
      </c>
      <c r="AD334">
        <v>0</v>
      </c>
      <c r="AE334">
        <v>0</v>
      </c>
      <c r="AF334">
        <v>0</v>
      </c>
      <c r="AG334">
        <v>0</v>
      </c>
      <c r="AH334">
        <v>0</v>
      </c>
      <c r="AI334">
        <v>0</v>
      </c>
      <c r="AJ334">
        <v>0</v>
      </c>
      <c r="AK334">
        <v>0</v>
      </c>
      <c r="AL334">
        <v>0</v>
      </c>
      <c r="AM334">
        <v>0</v>
      </c>
      <c r="AN334">
        <v>0</v>
      </c>
      <c r="AO334">
        <v>0</v>
      </c>
      <c r="AP334">
        <v>0</v>
      </c>
      <c r="AQ334">
        <v>64.92</v>
      </c>
      <c r="AR334">
        <v>0</v>
      </c>
      <c r="AS334">
        <v>0</v>
      </c>
      <c r="AT334">
        <v>0</v>
      </c>
      <c r="AU334">
        <v>0</v>
      </c>
      <c r="AV334">
        <v>0</v>
      </c>
      <c r="AW334">
        <v>0</v>
      </c>
      <c r="AX334">
        <v>0</v>
      </c>
      <c r="AY334">
        <v>0</v>
      </c>
      <c r="AZ334">
        <v>0</v>
      </c>
      <c r="BA334">
        <v>0</v>
      </c>
      <c r="BB334">
        <v>0</v>
      </c>
      <c r="BC334">
        <v>0</v>
      </c>
      <c r="BD334">
        <v>0</v>
      </c>
      <c r="BE334">
        <v>0</v>
      </c>
      <c r="BF334">
        <v>0</v>
      </c>
      <c r="BG334">
        <v>0</v>
      </c>
      <c r="BH334">
        <v>1</v>
      </c>
      <c r="BI334">
        <v>0.4</v>
      </c>
      <c r="BJ334">
        <v>2.8</v>
      </c>
      <c r="BK334">
        <v>3</v>
      </c>
      <c r="BL334">
        <v>201.6</v>
      </c>
      <c r="BM334">
        <v>30.24</v>
      </c>
      <c r="BN334">
        <v>231.84</v>
      </c>
      <c r="BO334">
        <v>231.84</v>
      </c>
      <c r="BQ334" t="s">
        <v>1148</v>
      </c>
      <c r="BR334" t="s">
        <v>84</v>
      </c>
      <c r="BS334" s="3">
        <v>45890</v>
      </c>
      <c r="BT334" s="4">
        <v>0.43472222222222223</v>
      </c>
      <c r="BU334" t="s">
        <v>1149</v>
      </c>
      <c r="BV334" t="s">
        <v>86</v>
      </c>
      <c r="BY334">
        <v>14064.27</v>
      </c>
      <c r="BZ334" t="s">
        <v>102</v>
      </c>
      <c r="CA334" t="s">
        <v>525</v>
      </c>
      <c r="CC334" t="s">
        <v>408</v>
      </c>
      <c r="CD334">
        <v>4400</v>
      </c>
      <c r="CE334" t="s">
        <v>104</v>
      </c>
      <c r="CF334" s="3">
        <v>45891</v>
      </c>
      <c r="CI334">
        <v>2</v>
      </c>
      <c r="CJ334">
        <v>2</v>
      </c>
      <c r="CK334">
        <v>23</v>
      </c>
      <c r="CL334" t="s">
        <v>90</v>
      </c>
    </row>
    <row r="335" spans="1:90" x14ac:dyDescent="0.3">
      <c r="A335" t="s">
        <v>72</v>
      </c>
      <c r="B335" t="s">
        <v>73</v>
      </c>
      <c r="C335" t="s">
        <v>74</v>
      </c>
      <c r="E335" t="str">
        <f>"GAB2027944"</f>
        <v>GAB2027944</v>
      </c>
      <c r="F335" s="3">
        <v>45888</v>
      </c>
      <c r="G335">
        <v>202605</v>
      </c>
      <c r="H335" t="s">
        <v>75</v>
      </c>
      <c r="I335" t="s">
        <v>76</v>
      </c>
      <c r="J335" t="s">
        <v>77</v>
      </c>
      <c r="K335" t="s">
        <v>78</v>
      </c>
      <c r="L335" t="s">
        <v>79</v>
      </c>
      <c r="M335" t="s">
        <v>80</v>
      </c>
      <c r="N335" t="s">
        <v>457</v>
      </c>
      <c r="O335" t="s">
        <v>100</v>
      </c>
      <c r="P335" t="str">
        <f>"INV-00120245 CT096701         "</f>
        <v xml:space="preserve">INV-00120245 CT096701         </v>
      </c>
      <c r="Q335">
        <v>0</v>
      </c>
      <c r="R335">
        <v>0</v>
      </c>
      <c r="S335">
        <v>0</v>
      </c>
      <c r="T335">
        <v>0</v>
      </c>
      <c r="U335">
        <v>0</v>
      </c>
      <c r="V335">
        <v>0</v>
      </c>
      <c r="W335">
        <v>0</v>
      </c>
      <c r="X335">
        <v>0</v>
      </c>
      <c r="Y335">
        <v>0</v>
      </c>
      <c r="Z335">
        <v>0</v>
      </c>
      <c r="AA335">
        <v>0</v>
      </c>
      <c r="AB335">
        <v>0</v>
      </c>
      <c r="AC335">
        <v>0</v>
      </c>
      <c r="AD335">
        <v>0</v>
      </c>
      <c r="AE335">
        <v>0</v>
      </c>
      <c r="AF335">
        <v>0</v>
      </c>
      <c r="AG335">
        <v>0</v>
      </c>
      <c r="AH335">
        <v>0</v>
      </c>
      <c r="AI335">
        <v>0</v>
      </c>
      <c r="AJ335">
        <v>0</v>
      </c>
      <c r="AK335">
        <v>0</v>
      </c>
      <c r="AL335">
        <v>0</v>
      </c>
      <c r="AM335">
        <v>0</v>
      </c>
      <c r="AN335">
        <v>0</v>
      </c>
      <c r="AO335">
        <v>0</v>
      </c>
      <c r="AP335">
        <v>0</v>
      </c>
      <c r="AQ335">
        <v>23.09</v>
      </c>
      <c r="AR335">
        <v>0</v>
      </c>
      <c r="AS335">
        <v>0</v>
      </c>
      <c r="AT335">
        <v>0</v>
      </c>
      <c r="AU335">
        <v>0</v>
      </c>
      <c r="AV335">
        <v>0</v>
      </c>
      <c r="AW335">
        <v>0</v>
      </c>
      <c r="AX335">
        <v>0</v>
      </c>
      <c r="AY335">
        <v>0</v>
      </c>
      <c r="AZ335">
        <v>0</v>
      </c>
      <c r="BA335">
        <v>0</v>
      </c>
      <c r="BB335">
        <v>0</v>
      </c>
      <c r="BC335">
        <v>0</v>
      </c>
      <c r="BD335">
        <v>0</v>
      </c>
      <c r="BE335">
        <v>0</v>
      </c>
      <c r="BF335">
        <v>0</v>
      </c>
      <c r="BG335">
        <v>0</v>
      </c>
      <c r="BH335">
        <v>1</v>
      </c>
      <c r="BI335">
        <v>0.5</v>
      </c>
      <c r="BJ335">
        <v>1.6</v>
      </c>
      <c r="BK335">
        <v>2</v>
      </c>
      <c r="BL335">
        <v>71.69</v>
      </c>
      <c r="BM335">
        <v>10.75</v>
      </c>
      <c r="BN335">
        <v>82.44</v>
      </c>
      <c r="BO335">
        <v>82.44</v>
      </c>
      <c r="BQ335" t="s">
        <v>458</v>
      </c>
      <c r="BR335" t="s">
        <v>84</v>
      </c>
      <c r="BS335" s="3">
        <v>45889</v>
      </c>
      <c r="BT335" s="4">
        <v>0.40138888888888891</v>
      </c>
      <c r="BU335" t="s">
        <v>459</v>
      </c>
      <c r="BV335" t="s">
        <v>86</v>
      </c>
      <c r="BY335">
        <v>8230.2000000000007</v>
      </c>
      <c r="BZ335" t="s">
        <v>102</v>
      </c>
      <c r="CA335" t="s">
        <v>460</v>
      </c>
      <c r="CC335" t="s">
        <v>80</v>
      </c>
      <c r="CD335" s="5" t="s">
        <v>237</v>
      </c>
      <c r="CE335" t="s">
        <v>164</v>
      </c>
      <c r="CF335" s="3">
        <v>45889</v>
      </c>
      <c r="CI335">
        <v>1</v>
      </c>
      <c r="CJ335">
        <v>1</v>
      </c>
      <c r="CK335">
        <v>21</v>
      </c>
      <c r="CL335" t="s">
        <v>90</v>
      </c>
    </row>
    <row r="336" spans="1:90" x14ac:dyDescent="0.3">
      <c r="A336" t="s">
        <v>72</v>
      </c>
      <c r="B336" t="s">
        <v>73</v>
      </c>
      <c r="C336" t="s">
        <v>74</v>
      </c>
      <c r="E336" t="str">
        <f>"GAB2027945"</f>
        <v>GAB2027945</v>
      </c>
      <c r="F336" s="3">
        <v>45888</v>
      </c>
      <c r="G336">
        <v>202605</v>
      </c>
      <c r="H336" t="s">
        <v>75</v>
      </c>
      <c r="I336" t="s">
        <v>76</v>
      </c>
      <c r="J336" t="s">
        <v>77</v>
      </c>
      <c r="K336" t="s">
        <v>78</v>
      </c>
      <c r="L336" t="s">
        <v>308</v>
      </c>
      <c r="M336" t="s">
        <v>309</v>
      </c>
      <c r="N336" t="s">
        <v>310</v>
      </c>
      <c r="O336" t="s">
        <v>100</v>
      </c>
      <c r="P336" t="str">
        <f>"INV-00120244 CT096707         "</f>
        <v xml:space="preserve">INV-00120244 CT096707         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0</v>
      </c>
      <c r="AI336">
        <v>0</v>
      </c>
      <c r="AJ336">
        <v>0</v>
      </c>
      <c r="AK336">
        <v>0</v>
      </c>
      <c r="AL336">
        <v>0</v>
      </c>
      <c r="AM336">
        <v>0</v>
      </c>
      <c r="AN336">
        <v>0</v>
      </c>
      <c r="AO336">
        <v>0</v>
      </c>
      <c r="AP336">
        <v>0</v>
      </c>
      <c r="AQ336">
        <v>64.92</v>
      </c>
      <c r="AR336">
        <v>0</v>
      </c>
      <c r="AS336">
        <v>0</v>
      </c>
      <c r="AT336">
        <v>0</v>
      </c>
      <c r="AU336">
        <v>0</v>
      </c>
      <c r="AV336">
        <v>0</v>
      </c>
      <c r="AW336">
        <v>0</v>
      </c>
      <c r="AX336">
        <v>0</v>
      </c>
      <c r="AY336">
        <v>0</v>
      </c>
      <c r="AZ336">
        <v>0</v>
      </c>
      <c r="BA336">
        <v>0</v>
      </c>
      <c r="BB336">
        <v>0</v>
      </c>
      <c r="BC336">
        <v>0</v>
      </c>
      <c r="BD336">
        <v>0</v>
      </c>
      <c r="BE336">
        <v>0</v>
      </c>
      <c r="BF336">
        <v>0</v>
      </c>
      <c r="BG336">
        <v>0</v>
      </c>
      <c r="BH336">
        <v>1</v>
      </c>
      <c r="BI336">
        <v>0.2</v>
      </c>
      <c r="BJ336">
        <v>2.6</v>
      </c>
      <c r="BK336">
        <v>3</v>
      </c>
      <c r="BL336">
        <v>201.6</v>
      </c>
      <c r="BM336">
        <v>30.24</v>
      </c>
      <c r="BN336">
        <v>231.84</v>
      </c>
      <c r="BO336">
        <v>231.84</v>
      </c>
      <c r="BQ336" t="s">
        <v>311</v>
      </c>
      <c r="BR336" t="s">
        <v>84</v>
      </c>
      <c r="BS336" s="3">
        <v>45889</v>
      </c>
      <c r="BT336" s="4">
        <v>0.43472222222222223</v>
      </c>
      <c r="BU336" t="s">
        <v>312</v>
      </c>
      <c r="BV336" t="s">
        <v>86</v>
      </c>
      <c r="BY336">
        <v>13127.01</v>
      </c>
      <c r="BZ336" t="s">
        <v>102</v>
      </c>
      <c r="CA336" t="s">
        <v>313</v>
      </c>
      <c r="CC336" t="s">
        <v>309</v>
      </c>
      <c r="CD336" s="5" t="s">
        <v>314</v>
      </c>
      <c r="CE336" t="s">
        <v>1150</v>
      </c>
      <c r="CF336" s="3">
        <v>45890</v>
      </c>
      <c r="CI336">
        <v>2</v>
      </c>
      <c r="CJ336">
        <v>1</v>
      </c>
      <c r="CK336">
        <v>23</v>
      </c>
      <c r="CL336" t="s">
        <v>90</v>
      </c>
    </row>
    <row r="337" spans="1:90" x14ac:dyDescent="0.3">
      <c r="A337" t="s">
        <v>72</v>
      </c>
      <c r="B337" t="s">
        <v>73</v>
      </c>
      <c r="C337" t="s">
        <v>74</v>
      </c>
      <c r="E337" t="str">
        <f>"GAB2027946"</f>
        <v>GAB2027946</v>
      </c>
      <c r="F337" s="3">
        <v>45888</v>
      </c>
      <c r="G337">
        <v>202605</v>
      </c>
      <c r="H337" t="s">
        <v>75</v>
      </c>
      <c r="I337" t="s">
        <v>76</v>
      </c>
      <c r="J337" t="s">
        <v>77</v>
      </c>
      <c r="K337" t="s">
        <v>78</v>
      </c>
      <c r="L337" t="s">
        <v>75</v>
      </c>
      <c r="M337" t="s">
        <v>76</v>
      </c>
      <c r="N337" t="s">
        <v>224</v>
      </c>
      <c r="O337" t="s">
        <v>100</v>
      </c>
      <c r="P337" t="str">
        <f>"INV-00120243 CT096705         "</f>
        <v xml:space="preserve">INV-00120243 CT096705         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  <c r="AI337">
        <v>0</v>
      </c>
      <c r="AJ337">
        <v>0</v>
      </c>
      <c r="AK337">
        <v>0</v>
      </c>
      <c r="AL337">
        <v>0</v>
      </c>
      <c r="AM337">
        <v>0</v>
      </c>
      <c r="AN337">
        <v>0</v>
      </c>
      <c r="AO337">
        <v>0</v>
      </c>
      <c r="AP337">
        <v>0</v>
      </c>
      <c r="AQ337">
        <v>18.03</v>
      </c>
      <c r="AR337">
        <v>0</v>
      </c>
      <c r="AS337">
        <v>0</v>
      </c>
      <c r="AT337">
        <v>0</v>
      </c>
      <c r="AU337">
        <v>0</v>
      </c>
      <c r="AV337">
        <v>0</v>
      </c>
      <c r="AW337">
        <v>0</v>
      </c>
      <c r="AX337">
        <v>0</v>
      </c>
      <c r="AY337">
        <v>0</v>
      </c>
      <c r="AZ337">
        <v>0</v>
      </c>
      <c r="BA337">
        <v>0</v>
      </c>
      <c r="BB337">
        <v>0</v>
      </c>
      <c r="BC337">
        <v>0</v>
      </c>
      <c r="BD337">
        <v>0</v>
      </c>
      <c r="BE337">
        <v>0</v>
      </c>
      <c r="BF337">
        <v>0</v>
      </c>
      <c r="BG337">
        <v>0</v>
      </c>
      <c r="BH337">
        <v>1</v>
      </c>
      <c r="BI337">
        <v>0.6</v>
      </c>
      <c r="BJ337">
        <v>1.7</v>
      </c>
      <c r="BK337">
        <v>2</v>
      </c>
      <c r="BL337">
        <v>55.99</v>
      </c>
      <c r="BM337">
        <v>8.4</v>
      </c>
      <c r="BN337">
        <v>64.39</v>
      </c>
      <c r="BO337">
        <v>64.39</v>
      </c>
      <c r="BQ337" t="s">
        <v>225</v>
      </c>
      <c r="BR337" t="s">
        <v>84</v>
      </c>
      <c r="BS337" s="3">
        <v>45889</v>
      </c>
      <c r="BT337" s="4">
        <v>0.37152777777777779</v>
      </c>
      <c r="BU337" t="s">
        <v>1151</v>
      </c>
      <c r="BV337" t="s">
        <v>86</v>
      </c>
      <c r="BY337">
        <v>8672.4</v>
      </c>
      <c r="BZ337" t="s">
        <v>102</v>
      </c>
      <c r="CA337" t="s">
        <v>1152</v>
      </c>
      <c r="CC337" t="s">
        <v>76</v>
      </c>
      <c r="CD337">
        <v>7700</v>
      </c>
      <c r="CE337" t="s">
        <v>265</v>
      </c>
      <c r="CF337" s="3">
        <v>45890</v>
      </c>
      <c r="CI337">
        <v>1</v>
      </c>
      <c r="CJ337">
        <v>1</v>
      </c>
      <c r="CK337">
        <v>22</v>
      </c>
      <c r="CL337" t="s">
        <v>90</v>
      </c>
    </row>
    <row r="338" spans="1:90" x14ac:dyDescent="0.3">
      <c r="A338" t="s">
        <v>72</v>
      </c>
      <c r="B338" t="s">
        <v>73</v>
      </c>
      <c r="C338" t="s">
        <v>74</v>
      </c>
      <c r="E338" t="str">
        <f>"GAB2027947"</f>
        <v>GAB2027947</v>
      </c>
      <c r="F338" s="3">
        <v>45888</v>
      </c>
      <c r="G338">
        <v>202605</v>
      </c>
      <c r="H338" t="s">
        <v>75</v>
      </c>
      <c r="I338" t="s">
        <v>76</v>
      </c>
      <c r="J338" t="s">
        <v>77</v>
      </c>
      <c r="K338" t="s">
        <v>78</v>
      </c>
      <c r="L338" t="s">
        <v>415</v>
      </c>
      <c r="M338" t="s">
        <v>416</v>
      </c>
      <c r="N338" t="s">
        <v>451</v>
      </c>
      <c r="O338" t="s">
        <v>100</v>
      </c>
      <c r="P338" t="str">
        <f>"INV-0038600 035572            "</f>
        <v xml:space="preserve">INV-0038600 035572            </v>
      </c>
      <c r="Q338">
        <v>0</v>
      </c>
      <c r="R338">
        <v>0</v>
      </c>
      <c r="S338">
        <v>0</v>
      </c>
      <c r="T338">
        <v>0</v>
      </c>
      <c r="U338">
        <v>0</v>
      </c>
      <c r="V338">
        <v>0</v>
      </c>
      <c r="W338">
        <v>0</v>
      </c>
      <c r="X338">
        <v>0</v>
      </c>
      <c r="Y338">
        <v>0</v>
      </c>
      <c r="Z338">
        <v>0</v>
      </c>
      <c r="AA338">
        <v>0</v>
      </c>
      <c r="AB338">
        <v>0</v>
      </c>
      <c r="AC338">
        <v>0</v>
      </c>
      <c r="AD338">
        <v>0</v>
      </c>
      <c r="AE338">
        <v>0</v>
      </c>
      <c r="AF338">
        <v>0</v>
      </c>
      <c r="AG338">
        <v>0</v>
      </c>
      <c r="AH338">
        <v>0</v>
      </c>
      <c r="AI338">
        <v>0</v>
      </c>
      <c r="AJ338">
        <v>0</v>
      </c>
      <c r="AK338">
        <v>0</v>
      </c>
      <c r="AL338">
        <v>0</v>
      </c>
      <c r="AM338">
        <v>0</v>
      </c>
      <c r="AN338">
        <v>0</v>
      </c>
      <c r="AO338">
        <v>0</v>
      </c>
      <c r="AP338">
        <v>0</v>
      </c>
      <c r="AQ338">
        <v>28.85</v>
      </c>
      <c r="AR338">
        <v>0</v>
      </c>
      <c r="AS338">
        <v>0</v>
      </c>
      <c r="AT338">
        <v>0</v>
      </c>
      <c r="AU338">
        <v>0</v>
      </c>
      <c r="AV338">
        <v>0</v>
      </c>
      <c r="AW338">
        <v>0</v>
      </c>
      <c r="AX338">
        <v>0</v>
      </c>
      <c r="AY338">
        <v>0</v>
      </c>
      <c r="AZ338">
        <v>0</v>
      </c>
      <c r="BA338">
        <v>0</v>
      </c>
      <c r="BB338">
        <v>0</v>
      </c>
      <c r="BC338">
        <v>0</v>
      </c>
      <c r="BD338">
        <v>0</v>
      </c>
      <c r="BE338">
        <v>0</v>
      </c>
      <c r="BF338">
        <v>0</v>
      </c>
      <c r="BG338">
        <v>0</v>
      </c>
      <c r="BH338">
        <v>1</v>
      </c>
      <c r="BI338">
        <v>0.2</v>
      </c>
      <c r="BJ338">
        <v>2.1</v>
      </c>
      <c r="BK338">
        <v>2.5</v>
      </c>
      <c r="BL338">
        <v>89.59</v>
      </c>
      <c r="BM338">
        <v>13.44</v>
      </c>
      <c r="BN338">
        <v>103.03</v>
      </c>
      <c r="BO338">
        <v>103.03</v>
      </c>
      <c r="BQ338" t="s">
        <v>135</v>
      </c>
      <c r="BR338" t="s">
        <v>84</v>
      </c>
      <c r="BS338" s="3">
        <v>45889</v>
      </c>
      <c r="BT338" s="4">
        <v>0.33263888888888887</v>
      </c>
      <c r="BU338" t="s">
        <v>675</v>
      </c>
      <c r="BV338" t="s">
        <v>86</v>
      </c>
      <c r="BY338">
        <v>10439.74</v>
      </c>
      <c r="BZ338" t="s">
        <v>102</v>
      </c>
      <c r="CA338" t="s">
        <v>676</v>
      </c>
      <c r="CC338" t="s">
        <v>416</v>
      </c>
      <c r="CD338">
        <v>2191</v>
      </c>
      <c r="CE338" t="s">
        <v>116</v>
      </c>
      <c r="CF338" s="3">
        <v>45889</v>
      </c>
      <c r="CI338">
        <v>1</v>
      </c>
      <c r="CJ338">
        <v>1</v>
      </c>
      <c r="CK338">
        <v>21</v>
      </c>
      <c r="CL338" t="s">
        <v>90</v>
      </c>
    </row>
    <row r="339" spans="1:90" x14ac:dyDescent="0.3">
      <c r="A339" t="s">
        <v>72</v>
      </c>
      <c r="B339" t="s">
        <v>73</v>
      </c>
      <c r="C339" t="s">
        <v>74</v>
      </c>
      <c r="E339" t="str">
        <f>"GAB2027948"</f>
        <v>GAB2027948</v>
      </c>
      <c r="F339" s="3">
        <v>45888</v>
      </c>
      <c r="G339">
        <v>202605</v>
      </c>
      <c r="H339" t="s">
        <v>75</v>
      </c>
      <c r="I339" t="s">
        <v>76</v>
      </c>
      <c r="J339" t="s">
        <v>77</v>
      </c>
      <c r="K339" t="s">
        <v>78</v>
      </c>
      <c r="L339" t="s">
        <v>875</v>
      </c>
      <c r="M339" t="s">
        <v>876</v>
      </c>
      <c r="N339" t="s">
        <v>877</v>
      </c>
      <c r="O339" t="s">
        <v>100</v>
      </c>
      <c r="P339" t="str">
        <f>"INV-00120237 CT096695         "</f>
        <v xml:space="preserve">INV-00120237 CT096695         </v>
      </c>
      <c r="Q339">
        <v>0</v>
      </c>
      <c r="R339">
        <v>0</v>
      </c>
      <c r="S339">
        <v>0</v>
      </c>
      <c r="T339">
        <v>0</v>
      </c>
      <c r="U339">
        <v>0</v>
      </c>
      <c r="V339">
        <v>0</v>
      </c>
      <c r="W339">
        <v>0</v>
      </c>
      <c r="X339">
        <v>0</v>
      </c>
      <c r="Y339">
        <v>0</v>
      </c>
      <c r="Z339">
        <v>0</v>
      </c>
      <c r="AA339">
        <v>0</v>
      </c>
      <c r="AB339">
        <v>0</v>
      </c>
      <c r="AC339">
        <v>0</v>
      </c>
      <c r="AD339">
        <v>0</v>
      </c>
      <c r="AE339">
        <v>0</v>
      </c>
      <c r="AF339">
        <v>0</v>
      </c>
      <c r="AG339">
        <v>0</v>
      </c>
      <c r="AH339">
        <v>0</v>
      </c>
      <c r="AI339">
        <v>0</v>
      </c>
      <c r="AJ339">
        <v>0</v>
      </c>
      <c r="AK339">
        <v>0</v>
      </c>
      <c r="AL339">
        <v>0</v>
      </c>
      <c r="AM339">
        <v>0</v>
      </c>
      <c r="AN339">
        <v>0</v>
      </c>
      <c r="AO339">
        <v>0</v>
      </c>
      <c r="AP339">
        <v>0</v>
      </c>
      <c r="AQ339">
        <v>28.85</v>
      </c>
      <c r="AR339">
        <v>0</v>
      </c>
      <c r="AS339">
        <v>0</v>
      </c>
      <c r="AT339">
        <v>0</v>
      </c>
      <c r="AU339">
        <v>0</v>
      </c>
      <c r="AV339">
        <v>0</v>
      </c>
      <c r="AW339">
        <v>0</v>
      </c>
      <c r="AX339">
        <v>0</v>
      </c>
      <c r="AY339">
        <v>0</v>
      </c>
      <c r="AZ339">
        <v>0</v>
      </c>
      <c r="BA339">
        <v>0</v>
      </c>
      <c r="BB339">
        <v>0</v>
      </c>
      <c r="BC339">
        <v>0</v>
      </c>
      <c r="BD339">
        <v>0</v>
      </c>
      <c r="BE339">
        <v>0</v>
      </c>
      <c r="BF339">
        <v>0</v>
      </c>
      <c r="BG339">
        <v>0</v>
      </c>
      <c r="BH339">
        <v>1</v>
      </c>
      <c r="BI339">
        <v>0.2</v>
      </c>
      <c r="BJ339">
        <v>2.2000000000000002</v>
      </c>
      <c r="BK339">
        <v>2.5</v>
      </c>
      <c r="BL339">
        <v>89.59</v>
      </c>
      <c r="BM339">
        <v>13.44</v>
      </c>
      <c r="BN339">
        <v>103.03</v>
      </c>
      <c r="BO339">
        <v>103.03</v>
      </c>
      <c r="BQ339" t="s">
        <v>878</v>
      </c>
      <c r="BR339" t="s">
        <v>84</v>
      </c>
      <c r="BS339" s="3">
        <v>45889</v>
      </c>
      <c r="BT339" s="4">
        <v>0.43333333333333335</v>
      </c>
      <c r="BU339" t="s">
        <v>879</v>
      </c>
      <c r="BV339" t="s">
        <v>86</v>
      </c>
      <c r="BY339">
        <v>11093.59</v>
      </c>
      <c r="BZ339" t="s">
        <v>102</v>
      </c>
      <c r="CA339" t="s">
        <v>880</v>
      </c>
      <c r="CC339" t="s">
        <v>876</v>
      </c>
      <c r="CD339">
        <v>6529</v>
      </c>
      <c r="CE339" t="s">
        <v>1153</v>
      </c>
      <c r="CF339" s="3">
        <v>45890</v>
      </c>
      <c r="CI339">
        <v>1</v>
      </c>
      <c r="CJ339">
        <v>1</v>
      </c>
      <c r="CK339">
        <v>21</v>
      </c>
      <c r="CL339" t="s">
        <v>90</v>
      </c>
    </row>
    <row r="340" spans="1:90" x14ac:dyDescent="0.3">
      <c r="A340" t="s">
        <v>72</v>
      </c>
      <c r="B340" t="s">
        <v>73</v>
      </c>
      <c r="C340" t="s">
        <v>74</v>
      </c>
      <c r="E340" t="str">
        <f>"GAB2027955"</f>
        <v>GAB2027955</v>
      </c>
      <c r="F340" s="3">
        <v>45888</v>
      </c>
      <c r="G340">
        <v>202605</v>
      </c>
      <c r="H340" t="s">
        <v>75</v>
      </c>
      <c r="I340" t="s">
        <v>76</v>
      </c>
      <c r="J340" t="s">
        <v>77</v>
      </c>
      <c r="K340" t="s">
        <v>78</v>
      </c>
      <c r="L340" t="s">
        <v>908</v>
      </c>
      <c r="M340" t="s">
        <v>909</v>
      </c>
      <c r="N340" t="s">
        <v>1154</v>
      </c>
      <c r="O340" t="s">
        <v>100</v>
      </c>
      <c r="P340" t="str">
        <f>"ATT:J.PILLAY                  "</f>
        <v xml:space="preserve">ATT:J.PILLAY                  </v>
      </c>
      <c r="Q340">
        <v>0</v>
      </c>
      <c r="R340">
        <v>0</v>
      </c>
      <c r="S340">
        <v>0</v>
      </c>
      <c r="T340">
        <v>0</v>
      </c>
      <c r="U340">
        <v>0</v>
      </c>
      <c r="V340">
        <v>0</v>
      </c>
      <c r="W340">
        <v>0</v>
      </c>
      <c r="X340">
        <v>0</v>
      </c>
      <c r="Y340">
        <v>0</v>
      </c>
      <c r="Z340">
        <v>0</v>
      </c>
      <c r="AA340">
        <v>0</v>
      </c>
      <c r="AB340">
        <v>0</v>
      </c>
      <c r="AC340">
        <v>0</v>
      </c>
      <c r="AD340">
        <v>0</v>
      </c>
      <c r="AE340">
        <v>0</v>
      </c>
      <c r="AF340">
        <v>0</v>
      </c>
      <c r="AG340">
        <v>0</v>
      </c>
      <c r="AH340">
        <v>0</v>
      </c>
      <c r="AI340">
        <v>0</v>
      </c>
      <c r="AJ340">
        <v>0</v>
      </c>
      <c r="AK340">
        <v>0</v>
      </c>
      <c r="AL340">
        <v>0</v>
      </c>
      <c r="AM340">
        <v>0</v>
      </c>
      <c r="AN340">
        <v>0</v>
      </c>
      <c r="AO340">
        <v>0</v>
      </c>
      <c r="AP340">
        <v>0</v>
      </c>
      <c r="AQ340">
        <v>23.09</v>
      </c>
      <c r="AR340">
        <v>0</v>
      </c>
      <c r="AS340">
        <v>0</v>
      </c>
      <c r="AT340">
        <v>0</v>
      </c>
      <c r="AU340">
        <v>0</v>
      </c>
      <c r="AV340">
        <v>0</v>
      </c>
      <c r="AW340">
        <v>0</v>
      </c>
      <c r="AX340">
        <v>0</v>
      </c>
      <c r="AY340">
        <v>0</v>
      </c>
      <c r="AZ340">
        <v>0</v>
      </c>
      <c r="BA340">
        <v>0</v>
      </c>
      <c r="BB340">
        <v>0</v>
      </c>
      <c r="BC340">
        <v>0</v>
      </c>
      <c r="BD340">
        <v>0</v>
      </c>
      <c r="BE340">
        <v>0</v>
      </c>
      <c r="BF340">
        <v>0</v>
      </c>
      <c r="BG340">
        <v>0</v>
      </c>
      <c r="BH340">
        <v>1</v>
      </c>
      <c r="BI340">
        <v>0.2</v>
      </c>
      <c r="BJ340">
        <v>1.9</v>
      </c>
      <c r="BK340">
        <v>2</v>
      </c>
      <c r="BL340">
        <v>71.69</v>
      </c>
      <c r="BM340">
        <v>10.75</v>
      </c>
      <c r="BN340">
        <v>82.44</v>
      </c>
      <c r="BO340">
        <v>82.44</v>
      </c>
      <c r="BQ340" t="s">
        <v>1155</v>
      </c>
      <c r="BR340" t="s">
        <v>84</v>
      </c>
      <c r="BS340" s="3">
        <v>45889</v>
      </c>
      <c r="BT340" s="4">
        <v>0.41666666666666669</v>
      </c>
      <c r="BU340" t="s">
        <v>1156</v>
      </c>
      <c r="BV340" t="s">
        <v>86</v>
      </c>
      <c r="BY340">
        <v>9674.7999999999993</v>
      </c>
      <c r="BZ340" t="s">
        <v>102</v>
      </c>
      <c r="CA340" t="s">
        <v>1157</v>
      </c>
      <c r="CC340" t="s">
        <v>909</v>
      </c>
      <c r="CD340">
        <v>1682</v>
      </c>
      <c r="CE340" t="s">
        <v>571</v>
      </c>
      <c r="CF340" s="3">
        <v>45890</v>
      </c>
      <c r="CI340">
        <v>1</v>
      </c>
      <c r="CJ340">
        <v>1</v>
      </c>
      <c r="CK340">
        <v>21</v>
      </c>
      <c r="CL340" t="s">
        <v>90</v>
      </c>
    </row>
    <row r="341" spans="1:90" x14ac:dyDescent="0.3">
      <c r="A341" t="s">
        <v>72</v>
      </c>
      <c r="B341" t="s">
        <v>73</v>
      </c>
      <c r="C341" t="s">
        <v>74</v>
      </c>
      <c r="E341" t="str">
        <f>"GAB2027956"</f>
        <v>GAB2027956</v>
      </c>
      <c r="F341" s="3">
        <v>45888</v>
      </c>
      <c r="G341">
        <v>202605</v>
      </c>
      <c r="H341" t="s">
        <v>75</v>
      </c>
      <c r="I341" t="s">
        <v>76</v>
      </c>
      <c r="J341" t="s">
        <v>77</v>
      </c>
      <c r="K341" t="s">
        <v>78</v>
      </c>
      <c r="L341" t="s">
        <v>539</v>
      </c>
      <c r="M341" t="s">
        <v>540</v>
      </c>
      <c r="N341" t="s">
        <v>1158</v>
      </c>
      <c r="O341" t="s">
        <v>100</v>
      </c>
      <c r="P341" t="str">
        <f>"INV-00120252 CT096698         "</f>
        <v xml:space="preserve">INV-00120252 CT096698         </v>
      </c>
      <c r="Q341">
        <v>0</v>
      </c>
      <c r="R341">
        <v>0</v>
      </c>
      <c r="S341">
        <v>0</v>
      </c>
      <c r="T341">
        <v>0</v>
      </c>
      <c r="U341">
        <v>0</v>
      </c>
      <c r="V341">
        <v>0</v>
      </c>
      <c r="W341">
        <v>0</v>
      </c>
      <c r="X341">
        <v>0</v>
      </c>
      <c r="Y341">
        <v>0</v>
      </c>
      <c r="Z341">
        <v>0</v>
      </c>
      <c r="AA341">
        <v>0</v>
      </c>
      <c r="AB341">
        <v>0</v>
      </c>
      <c r="AC341">
        <v>0</v>
      </c>
      <c r="AD341">
        <v>0</v>
      </c>
      <c r="AE341">
        <v>0</v>
      </c>
      <c r="AF341">
        <v>0</v>
      </c>
      <c r="AG341">
        <v>0</v>
      </c>
      <c r="AH341">
        <v>0</v>
      </c>
      <c r="AI341">
        <v>0</v>
      </c>
      <c r="AJ341">
        <v>0</v>
      </c>
      <c r="AK341">
        <v>0</v>
      </c>
      <c r="AL341">
        <v>0</v>
      </c>
      <c r="AM341">
        <v>0</v>
      </c>
      <c r="AN341">
        <v>0</v>
      </c>
      <c r="AO341">
        <v>0</v>
      </c>
      <c r="AP341">
        <v>0</v>
      </c>
      <c r="AQ341">
        <v>23.09</v>
      </c>
      <c r="AR341">
        <v>0</v>
      </c>
      <c r="AS341">
        <v>0</v>
      </c>
      <c r="AT341">
        <v>0</v>
      </c>
      <c r="AU341">
        <v>0</v>
      </c>
      <c r="AV341">
        <v>0</v>
      </c>
      <c r="AW341">
        <v>0</v>
      </c>
      <c r="AX341">
        <v>0</v>
      </c>
      <c r="AY341">
        <v>0</v>
      </c>
      <c r="AZ341">
        <v>0</v>
      </c>
      <c r="BA341">
        <v>0</v>
      </c>
      <c r="BB341">
        <v>0</v>
      </c>
      <c r="BC341">
        <v>0</v>
      </c>
      <c r="BD341">
        <v>0</v>
      </c>
      <c r="BE341">
        <v>0</v>
      </c>
      <c r="BF341">
        <v>0</v>
      </c>
      <c r="BG341">
        <v>0</v>
      </c>
      <c r="BH341">
        <v>1</v>
      </c>
      <c r="BI341">
        <v>0.5</v>
      </c>
      <c r="BJ341">
        <v>1.7</v>
      </c>
      <c r="BK341">
        <v>2</v>
      </c>
      <c r="BL341">
        <v>71.69</v>
      </c>
      <c r="BM341">
        <v>10.75</v>
      </c>
      <c r="BN341">
        <v>82.44</v>
      </c>
      <c r="BO341">
        <v>82.44</v>
      </c>
      <c r="BQ341" t="s">
        <v>355</v>
      </c>
      <c r="BR341" t="s">
        <v>84</v>
      </c>
      <c r="BS341" s="3">
        <v>45889</v>
      </c>
      <c r="BT341" s="4">
        <v>0.40277777777777779</v>
      </c>
      <c r="BU341" t="s">
        <v>1159</v>
      </c>
      <c r="BV341" t="s">
        <v>86</v>
      </c>
      <c r="BY341">
        <v>8639.4</v>
      </c>
      <c r="BZ341" t="s">
        <v>102</v>
      </c>
      <c r="CA341" t="s">
        <v>1160</v>
      </c>
      <c r="CC341" t="s">
        <v>540</v>
      </c>
      <c r="CD341">
        <v>1500</v>
      </c>
      <c r="CE341" t="s">
        <v>164</v>
      </c>
      <c r="CF341" s="3">
        <v>45889</v>
      </c>
      <c r="CI341">
        <v>1</v>
      </c>
      <c r="CJ341">
        <v>1</v>
      </c>
      <c r="CK341">
        <v>21</v>
      </c>
      <c r="CL341" t="s">
        <v>90</v>
      </c>
    </row>
    <row r="342" spans="1:90" x14ac:dyDescent="0.3">
      <c r="A342" t="s">
        <v>72</v>
      </c>
      <c r="B342" t="s">
        <v>73</v>
      </c>
      <c r="C342" t="s">
        <v>74</v>
      </c>
      <c r="E342" t="str">
        <f>"GAB2027957"</f>
        <v>GAB2027957</v>
      </c>
      <c r="F342" s="3">
        <v>45888</v>
      </c>
      <c r="G342">
        <v>202605</v>
      </c>
      <c r="H342" t="s">
        <v>75</v>
      </c>
      <c r="I342" t="s">
        <v>76</v>
      </c>
      <c r="J342" t="s">
        <v>77</v>
      </c>
      <c r="K342" t="s">
        <v>78</v>
      </c>
      <c r="L342" t="s">
        <v>79</v>
      </c>
      <c r="M342" t="s">
        <v>80</v>
      </c>
      <c r="N342" t="s">
        <v>1161</v>
      </c>
      <c r="O342" t="s">
        <v>100</v>
      </c>
      <c r="P342" t="str">
        <f>"INV-00120251 CT096703         "</f>
        <v xml:space="preserve">INV-00120251 CT096703         </v>
      </c>
      <c r="Q342">
        <v>0</v>
      </c>
      <c r="R342">
        <v>0</v>
      </c>
      <c r="S342">
        <v>0</v>
      </c>
      <c r="T342">
        <v>0</v>
      </c>
      <c r="U342">
        <v>0</v>
      </c>
      <c r="V342">
        <v>0</v>
      </c>
      <c r="W342">
        <v>0</v>
      </c>
      <c r="X342">
        <v>0</v>
      </c>
      <c r="Y342">
        <v>0</v>
      </c>
      <c r="Z342">
        <v>0</v>
      </c>
      <c r="AA342">
        <v>0</v>
      </c>
      <c r="AB342">
        <v>0</v>
      </c>
      <c r="AC342">
        <v>0</v>
      </c>
      <c r="AD342">
        <v>0</v>
      </c>
      <c r="AE342">
        <v>0</v>
      </c>
      <c r="AF342">
        <v>0</v>
      </c>
      <c r="AG342">
        <v>0</v>
      </c>
      <c r="AH342">
        <v>0</v>
      </c>
      <c r="AI342">
        <v>0</v>
      </c>
      <c r="AJ342">
        <v>0</v>
      </c>
      <c r="AK342">
        <v>0</v>
      </c>
      <c r="AL342">
        <v>0</v>
      </c>
      <c r="AM342">
        <v>0</v>
      </c>
      <c r="AN342">
        <v>0</v>
      </c>
      <c r="AO342">
        <v>0</v>
      </c>
      <c r="AP342">
        <v>0</v>
      </c>
      <c r="AQ342">
        <v>23.09</v>
      </c>
      <c r="AR342">
        <v>0</v>
      </c>
      <c r="AS342">
        <v>0</v>
      </c>
      <c r="AT342">
        <v>0</v>
      </c>
      <c r="AU342">
        <v>0</v>
      </c>
      <c r="AV342">
        <v>0</v>
      </c>
      <c r="AW342">
        <v>0</v>
      </c>
      <c r="AX342">
        <v>0</v>
      </c>
      <c r="AY342">
        <v>0</v>
      </c>
      <c r="AZ342">
        <v>0</v>
      </c>
      <c r="BA342">
        <v>0</v>
      </c>
      <c r="BB342">
        <v>0</v>
      </c>
      <c r="BC342">
        <v>0</v>
      </c>
      <c r="BD342">
        <v>0</v>
      </c>
      <c r="BE342">
        <v>0</v>
      </c>
      <c r="BF342">
        <v>0</v>
      </c>
      <c r="BG342">
        <v>0</v>
      </c>
      <c r="BH342">
        <v>1</v>
      </c>
      <c r="BI342">
        <v>0.5</v>
      </c>
      <c r="BJ342">
        <v>1.8</v>
      </c>
      <c r="BK342">
        <v>2</v>
      </c>
      <c r="BL342">
        <v>71.69</v>
      </c>
      <c r="BM342">
        <v>10.75</v>
      </c>
      <c r="BN342">
        <v>82.44</v>
      </c>
      <c r="BO342">
        <v>82.44</v>
      </c>
      <c r="BR342" t="s">
        <v>84</v>
      </c>
      <c r="BS342" s="3">
        <v>45889</v>
      </c>
      <c r="BT342" s="4">
        <v>0.39861111111111114</v>
      </c>
      <c r="BU342" t="s">
        <v>1162</v>
      </c>
      <c r="BV342" t="s">
        <v>86</v>
      </c>
      <c r="BY342">
        <v>8759.25</v>
      </c>
      <c r="BZ342" t="s">
        <v>102</v>
      </c>
      <c r="CA342" t="s">
        <v>1163</v>
      </c>
      <c r="CC342" t="s">
        <v>80</v>
      </c>
      <c r="CD342" s="5" t="s">
        <v>1164</v>
      </c>
      <c r="CE342" t="s">
        <v>164</v>
      </c>
      <c r="CF342" s="3">
        <v>45889</v>
      </c>
      <c r="CI342">
        <v>1</v>
      </c>
      <c r="CJ342">
        <v>1</v>
      </c>
      <c r="CK342">
        <v>21</v>
      </c>
      <c r="CL342" t="s">
        <v>90</v>
      </c>
    </row>
    <row r="343" spans="1:90" x14ac:dyDescent="0.3">
      <c r="A343" t="s">
        <v>72</v>
      </c>
      <c r="B343" t="s">
        <v>73</v>
      </c>
      <c r="C343" t="s">
        <v>74</v>
      </c>
      <c r="E343" t="str">
        <f>"GAB2027958"</f>
        <v>GAB2027958</v>
      </c>
      <c r="F343" s="3">
        <v>45888</v>
      </c>
      <c r="G343">
        <v>202605</v>
      </c>
      <c r="H343" t="s">
        <v>75</v>
      </c>
      <c r="I343" t="s">
        <v>76</v>
      </c>
      <c r="J343" t="s">
        <v>77</v>
      </c>
      <c r="K343" t="s">
        <v>78</v>
      </c>
      <c r="L343" t="s">
        <v>79</v>
      </c>
      <c r="M343" t="s">
        <v>80</v>
      </c>
      <c r="N343" t="s">
        <v>1165</v>
      </c>
      <c r="O343" t="s">
        <v>100</v>
      </c>
      <c r="P343" t="str">
        <f>"INV-00120250 CT096704         "</f>
        <v xml:space="preserve">INV-00120250 CT096704         </v>
      </c>
      <c r="Q343">
        <v>0</v>
      </c>
      <c r="R343">
        <v>0</v>
      </c>
      <c r="S343">
        <v>0</v>
      </c>
      <c r="T343">
        <v>0</v>
      </c>
      <c r="U343">
        <v>0</v>
      </c>
      <c r="V343">
        <v>0</v>
      </c>
      <c r="W343">
        <v>0</v>
      </c>
      <c r="X343">
        <v>0</v>
      </c>
      <c r="Y343">
        <v>0</v>
      </c>
      <c r="Z343">
        <v>0</v>
      </c>
      <c r="AA343">
        <v>0</v>
      </c>
      <c r="AB343">
        <v>0</v>
      </c>
      <c r="AC343">
        <v>0</v>
      </c>
      <c r="AD343">
        <v>0</v>
      </c>
      <c r="AE343">
        <v>0</v>
      </c>
      <c r="AF343">
        <v>0</v>
      </c>
      <c r="AG343">
        <v>0</v>
      </c>
      <c r="AH343">
        <v>0</v>
      </c>
      <c r="AI343">
        <v>0</v>
      </c>
      <c r="AJ343">
        <v>0</v>
      </c>
      <c r="AK343">
        <v>0</v>
      </c>
      <c r="AL343">
        <v>0</v>
      </c>
      <c r="AM343">
        <v>0</v>
      </c>
      <c r="AN343">
        <v>0</v>
      </c>
      <c r="AO343">
        <v>0</v>
      </c>
      <c r="AP343">
        <v>0</v>
      </c>
      <c r="AQ343">
        <v>34.619999999999997</v>
      </c>
      <c r="AR343">
        <v>0</v>
      </c>
      <c r="AS343">
        <v>0</v>
      </c>
      <c r="AT343">
        <v>0</v>
      </c>
      <c r="AU343">
        <v>0</v>
      </c>
      <c r="AV343">
        <v>0</v>
      </c>
      <c r="AW343">
        <v>0</v>
      </c>
      <c r="AX343">
        <v>0</v>
      </c>
      <c r="AY343">
        <v>0</v>
      </c>
      <c r="AZ343">
        <v>0</v>
      </c>
      <c r="BA343">
        <v>0</v>
      </c>
      <c r="BB343">
        <v>0</v>
      </c>
      <c r="BC343">
        <v>0</v>
      </c>
      <c r="BD343">
        <v>0</v>
      </c>
      <c r="BE343">
        <v>0</v>
      </c>
      <c r="BF343">
        <v>0</v>
      </c>
      <c r="BG343">
        <v>0</v>
      </c>
      <c r="BH343">
        <v>1</v>
      </c>
      <c r="BI343">
        <v>1.1000000000000001</v>
      </c>
      <c r="BJ343">
        <v>2.6</v>
      </c>
      <c r="BK343">
        <v>3</v>
      </c>
      <c r="BL343">
        <v>107.5</v>
      </c>
      <c r="BM343">
        <v>16.13</v>
      </c>
      <c r="BN343">
        <v>123.63</v>
      </c>
      <c r="BO343">
        <v>123.63</v>
      </c>
      <c r="BR343" t="s">
        <v>84</v>
      </c>
      <c r="BS343" s="3">
        <v>45889</v>
      </c>
      <c r="BT343" s="4">
        <v>0.43541666666666667</v>
      </c>
      <c r="BU343" t="s">
        <v>1166</v>
      </c>
      <c r="BV343" t="s">
        <v>86</v>
      </c>
      <c r="BY343">
        <v>13027.2</v>
      </c>
      <c r="BZ343" t="s">
        <v>102</v>
      </c>
      <c r="CA343" t="s">
        <v>1167</v>
      </c>
      <c r="CC343" t="s">
        <v>80</v>
      </c>
      <c r="CD343" s="5" t="s">
        <v>237</v>
      </c>
      <c r="CE343" t="s">
        <v>970</v>
      </c>
      <c r="CF343" s="3">
        <v>45889</v>
      </c>
      <c r="CI343">
        <v>1</v>
      </c>
      <c r="CJ343">
        <v>1</v>
      </c>
      <c r="CK343">
        <v>21</v>
      </c>
      <c r="CL343" t="s">
        <v>90</v>
      </c>
    </row>
    <row r="344" spans="1:90" x14ac:dyDescent="0.3">
      <c r="A344" t="s">
        <v>72</v>
      </c>
      <c r="B344" t="s">
        <v>73</v>
      </c>
      <c r="C344" t="s">
        <v>74</v>
      </c>
      <c r="E344" t="str">
        <f>"GAB2027959"</f>
        <v>GAB2027959</v>
      </c>
      <c r="F344" s="3">
        <v>45888</v>
      </c>
      <c r="G344">
        <v>202605</v>
      </c>
      <c r="H344" t="s">
        <v>75</v>
      </c>
      <c r="I344" t="s">
        <v>76</v>
      </c>
      <c r="J344" t="s">
        <v>77</v>
      </c>
      <c r="K344" t="s">
        <v>78</v>
      </c>
      <c r="L344" t="s">
        <v>75</v>
      </c>
      <c r="M344" t="s">
        <v>76</v>
      </c>
      <c r="N344" t="s">
        <v>1168</v>
      </c>
      <c r="O344" t="s">
        <v>100</v>
      </c>
      <c r="P344" t="str">
        <f>"INV-00120259 CT096712         "</f>
        <v xml:space="preserve">INV-00120259 CT096712         </v>
      </c>
      <c r="Q344">
        <v>0</v>
      </c>
      <c r="R344">
        <v>0</v>
      </c>
      <c r="S344">
        <v>0</v>
      </c>
      <c r="T344">
        <v>0</v>
      </c>
      <c r="U344">
        <v>0</v>
      </c>
      <c r="V344">
        <v>0</v>
      </c>
      <c r="W344">
        <v>0</v>
      </c>
      <c r="X344">
        <v>0</v>
      </c>
      <c r="Y344">
        <v>0</v>
      </c>
      <c r="Z344">
        <v>0</v>
      </c>
      <c r="AA344">
        <v>0</v>
      </c>
      <c r="AB344">
        <v>0</v>
      </c>
      <c r="AC344">
        <v>0</v>
      </c>
      <c r="AD344">
        <v>0</v>
      </c>
      <c r="AE344">
        <v>0</v>
      </c>
      <c r="AF344">
        <v>0</v>
      </c>
      <c r="AG344">
        <v>0</v>
      </c>
      <c r="AH344">
        <v>0</v>
      </c>
      <c r="AI344">
        <v>0</v>
      </c>
      <c r="AJ344">
        <v>0</v>
      </c>
      <c r="AK344">
        <v>0</v>
      </c>
      <c r="AL344">
        <v>0</v>
      </c>
      <c r="AM344">
        <v>0</v>
      </c>
      <c r="AN344">
        <v>0</v>
      </c>
      <c r="AO344">
        <v>0</v>
      </c>
      <c r="AP344">
        <v>0</v>
      </c>
      <c r="AQ344">
        <v>18.03</v>
      </c>
      <c r="AR344">
        <v>0</v>
      </c>
      <c r="AS344">
        <v>0</v>
      </c>
      <c r="AT344">
        <v>0</v>
      </c>
      <c r="AU344">
        <v>0</v>
      </c>
      <c r="AV344">
        <v>0</v>
      </c>
      <c r="AW344">
        <v>0</v>
      </c>
      <c r="AX344">
        <v>0</v>
      </c>
      <c r="AY344">
        <v>0</v>
      </c>
      <c r="AZ344">
        <v>0</v>
      </c>
      <c r="BA344">
        <v>0</v>
      </c>
      <c r="BB344">
        <v>0</v>
      </c>
      <c r="BC344">
        <v>0</v>
      </c>
      <c r="BD344">
        <v>0</v>
      </c>
      <c r="BE344">
        <v>0</v>
      </c>
      <c r="BF344">
        <v>0</v>
      </c>
      <c r="BG344">
        <v>0</v>
      </c>
      <c r="BH344">
        <v>1</v>
      </c>
      <c r="BI344">
        <v>0.3</v>
      </c>
      <c r="BJ344">
        <v>1.9</v>
      </c>
      <c r="BK344">
        <v>2</v>
      </c>
      <c r="BL344">
        <v>55.99</v>
      </c>
      <c r="BM344">
        <v>8.4</v>
      </c>
      <c r="BN344">
        <v>64.39</v>
      </c>
      <c r="BO344">
        <v>64.39</v>
      </c>
      <c r="BQ344" t="s">
        <v>1169</v>
      </c>
      <c r="BR344" t="s">
        <v>84</v>
      </c>
      <c r="BS344" s="3">
        <v>45889</v>
      </c>
      <c r="BT344" s="4">
        <v>0.43611111111111112</v>
      </c>
      <c r="BU344" t="s">
        <v>1170</v>
      </c>
      <c r="BV344" t="s">
        <v>86</v>
      </c>
      <c r="BY344">
        <v>9481.67</v>
      </c>
      <c r="BZ344" t="s">
        <v>102</v>
      </c>
      <c r="CA344" t="s">
        <v>475</v>
      </c>
      <c r="CC344" t="s">
        <v>76</v>
      </c>
      <c r="CD344">
        <v>7550</v>
      </c>
      <c r="CE344" t="s">
        <v>109</v>
      </c>
      <c r="CF344" s="3">
        <v>45890</v>
      </c>
      <c r="CI344">
        <v>1</v>
      </c>
      <c r="CJ344">
        <v>1</v>
      </c>
      <c r="CK344">
        <v>22</v>
      </c>
      <c r="CL344" t="s">
        <v>90</v>
      </c>
    </row>
    <row r="345" spans="1:90" x14ac:dyDescent="0.3">
      <c r="A345" t="s">
        <v>72</v>
      </c>
      <c r="B345" t="s">
        <v>73</v>
      </c>
      <c r="C345" t="s">
        <v>74</v>
      </c>
      <c r="E345" t="str">
        <f>"GAB2027960"</f>
        <v>GAB2027960</v>
      </c>
      <c r="F345" s="3">
        <v>45888</v>
      </c>
      <c r="G345">
        <v>202605</v>
      </c>
      <c r="H345" t="s">
        <v>75</v>
      </c>
      <c r="I345" t="s">
        <v>76</v>
      </c>
      <c r="J345" t="s">
        <v>77</v>
      </c>
      <c r="K345" t="s">
        <v>78</v>
      </c>
      <c r="L345" t="s">
        <v>226</v>
      </c>
      <c r="M345" t="s">
        <v>227</v>
      </c>
      <c r="N345" t="s">
        <v>266</v>
      </c>
      <c r="O345" t="s">
        <v>100</v>
      </c>
      <c r="P345" t="str">
        <f>"INV-00120261 CT096710         "</f>
        <v xml:space="preserve">INV-00120261 CT096710         </v>
      </c>
      <c r="Q345">
        <v>0</v>
      </c>
      <c r="R345">
        <v>0</v>
      </c>
      <c r="S345">
        <v>0</v>
      </c>
      <c r="T345">
        <v>0</v>
      </c>
      <c r="U345">
        <v>0</v>
      </c>
      <c r="V345">
        <v>0</v>
      </c>
      <c r="W345">
        <v>0</v>
      </c>
      <c r="X345">
        <v>0</v>
      </c>
      <c r="Y345">
        <v>0</v>
      </c>
      <c r="Z345">
        <v>0</v>
      </c>
      <c r="AA345">
        <v>0</v>
      </c>
      <c r="AB345">
        <v>0</v>
      </c>
      <c r="AC345">
        <v>0</v>
      </c>
      <c r="AD345">
        <v>0</v>
      </c>
      <c r="AE345">
        <v>0</v>
      </c>
      <c r="AF345">
        <v>0</v>
      </c>
      <c r="AG345">
        <v>0</v>
      </c>
      <c r="AH345">
        <v>0</v>
      </c>
      <c r="AI345">
        <v>0</v>
      </c>
      <c r="AJ345">
        <v>0</v>
      </c>
      <c r="AK345">
        <v>0</v>
      </c>
      <c r="AL345">
        <v>0</v>
      </c>
      <c r="AM345">
        <v>0</v>
      </c>
      <c r="AN345">
        <v>0</v>
      </c>
      <c r="AO345">
        <v>0</v>
      </c>
      <c r="AP345">
        <v>0</v>
      </c>
      <c r="AQ345">
        <v>28.85</v>
      </c>
      <c r="AR345">
        <v>0</v>
      </c>
      <c r="AS345">
        <v>0</v>
      </c>
      <c r="AT345">
        <v>0</v>
      </c>
      <c r="AU345">
        <v>0</v>
      </c>
      <c r="AV345">
        <v>0</v>
      </c>
      <c r="AW345">
        <v>0</v>
      </c>
      <c r="AX345">
        <v>0</v>
      </c>
      <c r="AY345">
        <v>0</v>
      </c>
      <c r="AZ345">
        <v>0</v>
      </c>
      <c r="BA345">
        <v>0</v>
      </c>
      <c r="BB345">
        <v>0</v>
      </c>
      <c r="BC345">
        <v>0</v>
      </c>
      <c r="BD345">
        <v>0</v>
      </c>
      <c r="BE345">
        <v>0</v>
      </c>
      <c r="BF345">
        <v>0</v>
      </c>
      <c r="BG345">
        <v>0</v>
      </c>
      <c r="BH345">
        <v>1</v>
      </c>
      <c r="BI345">
        <v>0.2</v>
      </c>
      <c r="BJ345">
        <v>2.4</v>
      </c>
      <c r="BK345">
        <v>2.5</v>
      </c>
      <c r="BL345">
        <v>89.59</v>
      </c>
      <c r="BM345">
        <v>13.44</v>
      </c>
      <c r="BN345">
        <v>103.03</v>
      </c>
      <c r="BO345">
        <v>103.03</v>
      </c>
      <c r="BR345" t="s">
        <v>84</v>
      </c>
      <c r="BS345" s="3">
        <v>45890</v>
      </c>
      <c r="BT345" s="4">
        <v>0.43125000000000002</v>
      </c>
      <c r="BU345" t="s">
        <v>1171</v>
      </c>
      <c r="BV345" t="s">
        <v>86</v>
      </c>
      <c r="BY345">
        <v>12021.75</v>
      </c>
      <c r="BZ345" t="s">
        <v>102</v>
      </c>
      <c r="CA345" t="s">
        <v>527</v>
      </c>
      <c r="CC345" t="s">
        <v>227</v>
      </c>
      <c r="CD345">
        <v>3610</v>
      </c>
      <c r="CE345" t="s">
        <v>116</v>
      </c>
      <c r="CF345" s="3">
        <v>45891</v>
      </c>
      <c r="CI345">
        <v>2</v>
      </c>
      <c r="CJ345">
        <v>2</v>
      </c>
      <c r="CK345">
        <v>21</v>
      </c>
      <c r="CL345" t="s">
        <v>90</v>
      </c>
    </row>
    <row r="346" spans="1:90" x14ac:dyDescent="0.3">
      <c r="A346" t="s">
        <v>72</v>
      </c>
      <c r="B346" t="s">
        <v>73</v>
      </c>
      <c r="C346" t="s">
        <v>74</v>
      </c>
      <c r="E346" t="str">
        <f>"GAB2027961"</f>
        <v>GAB2027961</v>
      </c>
      <c r="F346" s="3">
        <v>45888</v>
      </c>
      <c r="G346">
        <v>202605</v>
      </c>
      <c r="H346" t="s">
        <v>75</v>
      </c>
      <c r="I346" t="s">
        <v>76</v>
      </c>
      <c r="J346" t="s">
        <v>77</v>
      </c>
      <c r="K346" t="s">
        <v>78</v>
      </c>
      <c r="L346" t="s">
        <v>79</v>
      </c>
      <c r="M346" t="s">
        <v>80</v>
      </c>
      <c r="N346" t="s">
        <v>1172</v>
      </c>
      <c r="O346" t="s">
        <v>100</v>
      </c>
      <c r="P346" t="str">
        <f>"INV-00038611 0335590          "</f>
        <v xml:space="preserve">INV-00038611 0335590          </v>
      </c>
      <c r="Q346">
        <v>0</v>
      </c>
      <c r="R346">
        <v>0</v>
      </c>
      <c r="S346">
        <v>0</v>
      </c>
      <c r="T346">
        <v>0</v>
      </c>
      <c r="U346">
        <v>0</v>
      </c>
      <c r="V346">
        <v>0</v>
      </c>
      <c r="W346">
        <v>0</v>
      </c>
      <c r="X346">
        <v>0</v>
      </c>
      <c r="Y346">
        <v>0</v>
      </c>
      <c r="Z346">
        <v>0</v>
      </c>
      <c r="AA346">
        <v>0</v>
      </c>
      <c r="AB346">
        <v>0</v>
      </c>
      <c r="AC346">
        <v>0</v>
      </c>
      <c r="AD346">
        <v>0</v>
      </c>
      <c r="AE346">
        <v>0</v>
      </c>
      <c r="AF346">
        <v>0</v>
      </c>
      <c r="AG346">
        <v>0</v>
      </c>
      <c r="AH346">
        <v>0</v>
      </c>
      <c r="AI346">
        <v>0</v>
      </c>
      <c r="AJ346">
        <v>0</v>
      </c>
      <c r="AK346">
        <v>0</v>
      </c>
      <c r="AL346">
        <v>0</v>
      </c>
      <c r="AM346">
        <v>0</v>
      </c>
      <c r="AN346">
        <v>0</v>
      </c>
      <c r="AO346">
        <v>0</v>
      </c>
      <c r="AP346">
        <v>0</v>
      </c>
      <c r="AQ346">
        <v>23.09</v>
      </c>
      <c r="AR346">
        <v>0</v>
      </c>
      <c r="AS346">
        <v>0</v>
      </c>
      <c r="AT346">
        <v>0</v>
      </c>
      <c r="AU346">
        <v>0</v>
      </c>
      <c r="AV346">
        <v>0</v>
      </c>
      <c r="AW346">
        <v>0</v>
      </c>
      <c r="AX346">
        <v>0</v>
      </c>
      <c r="AY346">
        <v>0</v>
      </c>
      <c r="AZ346">
        <v>0</v>
      </c>
      <c r="BA346">
        <v>0</v>
      </c>
      <c r="BB346">
        <v>0</v>
      </c>
      <c r="BC346">
        <v>0</v>
      </c>
      <c r="BD346">
        <v>0</v>
      </c>
      <c r="BE346">
        <v>0</v>
      </c>
      <c r="BF346">
        <v>0</v>
      </c>
      <c r="BG346">
        <v>0</v>
      </c>
      <c r="BH346">
        <v>1</v>
      </c>
      <c r="BI346">
        <v>0.3</v>
      </c>
      <c r="BJ346">
        <v>1.8</v>
      </c>
      <c r="BK346">
        <v>2</v>
      </c>
      <c r="BL346">
        <v>71.69</v>
      </c>
      <c r="BM346">
        <v>10.75</v>
      </c>
      <c r="BN346">
        <v>82.44</v>
      </c>
      <c r="BO346">
        <v>82.44</v>
      </c>
      <c r="BQ346" t="s">
        <v>1173</v>
      </c>
      <c r="BR346" t="s">
        <v>84</v>
      </c>
      <c r="BS346" s="3">
        <v>45889</v>
      </c>
      <c r="BT346" s="4">
        <v>0.33194444444444443</v>
      </c>
      <c r="BU346" t="s">
        <v>1174</v>
      </c>
      <c r="BV346" t="s">
        <v>86</v>
      </c>
      <c r="BY346">
        <v>9163</v>
      </c>
      <c r="BZ346" t="s">
        <v>102</v>
      </c>
      <c r="CA346" t="s">
        <v>236</v>
      </c>
      <c r="CC346" t="s">
        <v>80</v>
      </c>
      <c r="CD346" s="5" t="s">
        <v>237</v>
      </c>
      <c r="CE346" t="s">
        <v>109</v>
      </c>
      <c r="CF346" s="3">
        <v>45889</v>
      </c>
      <c r="CI346">
        <v>1</v>
      </c>
      <c r="CJ346">
        <v>1</v>
      </c>
      <c r="CK346">
        <v>21</v>
      </c>
      <c r="CL346" t="s">
        <v>90</v>
      </c>
    </row>
    <row r="347" spans="1:90" x14ac:dyDescent="0.3">
      <c r="A347" t="s">
        <v>72</v>
      </c>
      <c r="B347" t="s">
        <v>73</v>
      </c>
      <c r="C347" t="s">
        <v>74</v>
      </c>
      <c r="E347" t="str">
        <f>"GAB2027962"</f>
        <v>GAB2027962</v>
      </c>
      <c r="F347" s="3">
        <v>45888</v>
      </c>
      <c r="G347">
        <v>202605</v>
      </c>
      <c r="H347" t="s">
        <v>75</v>
      </c>
      <c r="I347" t="s">
        <v>76</v>
      </c>
      <c r="J347" t="s">
        <v>77</v>
      </c>
      <c r="K347" t="s">
        <v>78</v>
      </c>
      <c r="L347" t="s">
        <v>373</v>
      </c>
      <c r="M347" t="s">
        <v>374</v>
      </c>
      <c r="N347" t="s">
        <v>1175</v>
      </c>
      <c r="O347" t="s">
        <v>100</v>
      </c>
      <c r="P347" t="str">
        <f>"INV-00038610 035589           "</f>
        <v xml:space="preserve">INV-00038610 035589           </v>
      </c>
      <c r="Q347">
        <v>0</v>
      </c>
      <c r="R347">
        <v>0</v>
      </c>
      <c r="S347">
        <v>0</v>
      </c>
      <c r="T347">
        <v>0</v>
      </c>
      <c r="U347">
        <v>0</v>
      </c>
      <c r="V347">
        <v>0</v>
      </c>
      <c r="W347">
        <v>0</v>
      </c>
      <c r="X347">
        <v>0</v>
      </c>
      <c r="Y347">
        <v>0</v>
      </c>
      <c r="Z347">
        <v>0</v>
      </c>
      <c r="AA347">
        <v>0</v>
      </c>
      <c r="AB347">
        <v>0</v>
      </c>
      <c r="AC347">
        <v>0</v>
      </c>
      <c r="AD347">
        <v>0</v>
      </c>
      <c r="AE347">
        <v>0</v>
      </c>
      <c r="AF347">
        <v>0</v>
      </c>
      <c r="AG347">
        <v>0</v>
      </c>
      <c r="AH347">
        <v>0</v>
      </c>
      <c r="AI347">
        <v>0</v>
      </c>
      <c r="AJ347">
        <v>0</v>
      </c>
      <c r="AK347">
        <v>0</v>
      </c>
      <c r="AL347">
        <v>0</v>
      </c>
      <c r="AM347">
        <v>0</v>
      </c>
      <c r="AN347">
        <v>0</v>
      </c>
      <c r="AO347">
        <v>0</v>
      </c>
      <c r="AP347">
        <v>0</v>
      </c>
      <c r="AQ347">
        <v>54.82</v>
      </c>
      <c r="AR347">
        <v>0</v>
      </c>
      <c r="AS347">
        <v>0</v>
      </c>
      <c r="AT347">
        <v>0</v>
      </c>
      <c r="AU347">
        <v>0</v>
      </c>
      <c r="AV347">
        <v>0</v>
      </c>
      <c r="AW347">
        <v>0</v>
      </c>
      <c r="AX347">
        <v>0</v>
      </c>
      <c r="AY347">
        <v>0</v>
      </c>
      <c r="AZ347">
        <v>0</v>
      </c>
      <c r="BA347">
        <v>0</v>
      </c>
      <c r="BB347">
        <v>0</v>
      </c>
      <c r="BC347">
        <v>0</v>
      </c>
      <c r="BD347">
        <v>0</v>
      </c>
      <c r="BE347">
        <v>0</v>
      </c>
      <c r="BF347">
        <v>0</v>
      </c>
      <c r="BG347">
        <v>0</v>
      </c>
      <c r="BH347">
        <v>1</v>
      </c>
      <c r="BI347">
        <v>0.2</v>
      </c>
      <c r="BJ347">
        <v>2.2999999999999998</v>
      </c>
      <c r="BK347">
        <v>2.5</v>
      </c>
      <c r="BL347">
        <v>170.24</v>
      </c>
      <c r="BM347">
        <v>25.54</v>
      </c>
      <c r="BN347">
        <v>195.78</v>
      </c>
      <c r="BO347">
        <v>195.78</v>
      </c>
      <c r="BQ347" t="s">
        <v>481</v>
      </c>
      <c r="BR347" t="s">
        <v>84</v>
      </c>
      <c r="BS347" s="3">
        <v>45889</v>
      </c>
      <c r="BT347" s="4">
        <v>0.33333333333333331</v>
      </c>
      <c r="BU347" t="s">
        <v>1176</v>
      </c>
      <c r="BV347" t="s">
        <v>86</v>
      </c>
      <c r="BY347">
        <v>11445.8</v>
      </c>
      <c r="BZ347" t="s">
        <v>102</v>
      </c>
      <c r="CC347" t="s">
        <v>374</v>
      </c>
      <c r="CD347">
        <v>9499</v>
      </c>
      <c r="CE347" t="s">
        <v>116</v>
      </c>
      <c r="CF347" s="3">
        <v>45890</v>
      </c>
      <c r="CI347">
        <v>2</v>
      </c>
      <c r="CJ347">
        <v>1</v>
      </c>
      <c r="CK347">
        <v>23</v>
      </c>
      <c r="CL347" t="s">
        <v>90</v>
      </c>
    </row>
    <row r="348" spans="1:90" x14ac:dyDescent="0.3">
      <c r="A348" t="s">
        <v>72</v>
      </c>
      <c r="B348" t="s">
        <v>73</v>
      </c>
      <c r="C348" t="s">
        <v>74</v>
      </c>
      <c r="E348" t="str">
        <f>"GAB2027964"</f>
        <v>GAB2027964</v>
      </c>
      <c r="F348" s="3">
        <v>45888</v>
      </c>
      <c r="G348">
        <v>202605</v>
      </c>
      <c r="H348" t="s">
        <v>75</v>
      </c>
      <c r="I348" t="s">
        <v>76</v>
      </c>
      <c r="J348" t="s">
        <v>77</v>
      </c>
      <c r="K348" t="s">
        <v>78</v>
      </c>
      <c r="L348" t="s">
        <v>148</v>
      </c>
      <c r="M348" t="s">
        <v>149</v>
      </c>
      <c r="N348" t="s">
        <v>1177</v>
      </c>
      <c r="O348" t="s">
        <v>100</v>
      </c>
      <c r="P348" t="str">
        <f>"INV-00038613 035539           "</f>
        <v xml:space="preserve">INV-00038613 035539           </v>
      </c>
      <c r="Q348">
        <v>0</v>
      </c>
      <c r="R348">
        <v>0</v>
      </c>
      <c r="S348">
        <v>0</v>
      </c>
      <c r="T348">
        <v>0</v>
      </c>
      <c r="U348">
        <v>0</v>
      </c>
      <c r="V348">
        <v>0</v>
      </c>
      <c r="W348">
        <v>0</v>
      </c>
      <c r="X348">
        <v>0</v>
      </c>
      <c r="Y348">
        <v>0</v>
      </c>
      <c r="Z348">
        <v>0</v>
      </c>
      <c r="AA348">
        <v>0</v>
      </c>
      <c r="AB348">
        <v>0</v>
      </c>
      <c r="AC348">
        <v>0</v>
      </c>
      <c r="AD348">
        <v>0</v>
      </c>
      <c r="AE348">
        <v>0</v>
      </c>
      <c r="AF348">
        <v>0</v>
      </c>
      <c r="AG348">
        <v>0</v>
      </c>
      <c r="AH348">
        <v>0</v>
      </c>
      <c r="AI348">
        <v>0</v>
      </c>
      <c r="AJ348">
        <v>0</v>
      </c>
      <c r="AK348">
        <v>0</v>
      </c>
      <c r="AL348">
        <v>0</v>
      </c>
      <c r="AM348">
        <v>0</v>
      </c>
      <c r="AN348">
        <v>0</v>
      </c>
      <c r="AO348">
        <v>0</v>
      </c>
      <c r="AP348">
        <v>0</v>
      </c>
      <c r="AQ348">
        <v>28.85</v>
      </c>
      <c r="AR348">
        <v>0</v>
      </c>
      <c r="AS348">
        <v>0</v>
      </c>
      <c r="AT348">
        <v>0</v>
      </c>
      <c r="AU348">
        <v>0</v>
      </c>
      <c r="AV348">
        <v>0</v>
      </c>
      <c r="AW348">
        <v>0</v>
      </c>
      <c r="AX348">
        <v>0</v>
      </c>
      <c r="AY348">
        <v>0</v>
      </c>
      <c r="AZ348">
        <v>0</v>
      </c>
      <c r="BA348">
        <v>0</v>
      </c>
      <c r="BB348">
        <v>0</v>
      </c>
      <c r="BC348">
        <v>0</v>
      </c>
      <c r="BD348">
        <v>0</v>
      </c>
      <c r="BE348">
        <v>0</v>
      </c>
      <c r="BF348">
        <v>0</v>
      </c>
      <c r="BG348">
        <v>0</v>
      </c>
      <c r="BH348">
        <v>1</v>
      </c>
      <c r="BI348">
        <v>0.3</v>
      </c>
      <c r="BJ348">
        <v>2.1</v>
      </c>
      <c r="BK348">
        <v>2.5</v>
      </c>
      <c r="BL348">
        <v>89.59</v>
      </c>
      <c r="BM348">
        <v>13.44</v>
      </c>
      <c r="BN348">
        <v>103.03</v>
      </c>
      <c r="BO348">
        <v>103.03</v>
      </c>
      <c r="BQ348" t="s">
        <v>1178</v>
      </c>
      <c r="BR348" t="s">
        <v>84</v>
      </c>
      <c r="BS348" s="3">
        <v>45889</v>
      </c>
      <c r="BT348" s="4">
        <v>0.38611111111111113</v>
      </c>
      <c r="BU348" t="s">
        <v>1179</v>
      </c>
      <c r="BV348" t="s">
        <v>86</v>
      </c>
      <c r="BY348">
        <v>10410.120000000001</v>
      </c>
      <c r="BZ348" t="s">
        <v>102</v>
      </c>
      <c r="CA348" t="s">
        <v>1036</v>
      </c>
      <c r="CC348" t="s">
        <v>149</v>
      </c>
      <c r="CD348">
        <v>6001</v>
      </c>
      <c r="CE348" t="s">
        <v>104</v>
      </c>
      <c r="CF348" s="3">
        <v>45889</v>
      </c>
      <c r="CI348">
        <v>2</v>
      </c>
      <c r="CJ348">
        <v>1</v>
      </c>
      <c r="CK348">
        <v>21</v>
      </c>
      <c r="CL348" t="s">
        <v>90</v>
      </c>
    </row>
    <row r="349" spans="1:90" x14ac:dyDescent="0.3">
      <c r="A349" t="s">
        <v>72</v>
      </c>
      <c r="B349" t="s">
        <v>73</v>
      </c>
      <c r="C349" t="s">
        <v>74</v>
      </c>
      <c r="E349" t="str">
        <f>"RGAB2027638"</f>
        <v>RGAB2027638</v>
      </c>
      <c r="F349" s="3">
        <v>45888</v>
      </c>
      <c r="G349">
        <v>202605</v>
      </c>
      <c r="H349" t="s">
        <v>165</v>
      </c>
      <c r="I349" t="s">
        <v>166</v>
      </c>
      <c r="J349" t="s">
        <v>197</v>
      </c>
      <c r="K349" t="s">
        <v>78</v>
      </c>
      <c r="L349" t="s">
        <v>1180</v>
      </c>
      <c r="M349" t="s">
        <v>1181</v>
      </c>
      <c r="N349" t="s">
        <v>1182</v>
      </c>
      <c r="O349" t="s">
        <v>82</v>
      </c>
      <c r="P349" t="str">
        <f>"INV-000404 000403 00401 00400 "</f>
        <v xml:space="preserve">INV-000404 000403 00401 00400 </v>
      </c>
      <c r="Q349">
        <v>0</v>
      </c>
      <c r="R349">
        <v>0</v>
      </c>
      <c r="S349">
        <v>0</v>
      </c>
      <c r="T349">
        <v>0</v>
      </c>
      <c r="U349">
        <v>0</v>
      </c>
      <c r="V349">
        <v>0</v>
      </c>
      <c r="W349">
        <v>0</v>
      </c>
      <c r="X349">
        <v>0</v>
      </c>
      <c r="Y349">
        <v>0</v>
      </c>
      <c r="Z349">
        <v>0</v>
      </c>
      <c r="AA349">
        <v>0</v>
      </c>
      <c r="AB349">
        <v>0</v>
      </c>
      <c r="AC349">
        <v>16.739999999999998</v>
      </c>
      <c r="AD349">
        <v>0</v>
      </c>
      <c r="AE349">
        <v>0</v>
      </c>
      <c r="AF349">
        <v>0</v>
      </c>
      <c r="AG349">
        <v>5.87</v>
      </c>
      <c r="AH349">
        <v>0</v>
      </c>
      <c r="AI349">
        <v>0</v>
      </c>
      <c r="AJ349">
        <v>0</v>
      </c>
      <c r="AK349">
        <v>0</v>
      </c>
      <c r="AL349">
        <v>0</v>
      </c>
      <c r="AM349">
        <v>0</v>
      </c>
      <c r="AN349">
        <v>0</v>
      </c>
      <c r="AO349">
        <v>0</v>
      </c>
      <c r="AP349">
        <v>0</v>
      </c>
      <c r="AQ349">
        <v>172.3</v>
      </c>
      <c r="AR349">
        <v>0</v>
      </c>
      <c r="AS349">
        <v>0</v>
      </c>
      <c r="AT349">
        <v>0</v>
      </c>
      <c r="AU349">
        <v>0</v>
      </c>
      <c r="AV349">
        <v>0</v>
      </c>
      <c r="AW349">
        <v>16.739999999999998</v>
      </c>
      <c r="AX349">
        <v>0</v>
      </c>
      <c r="AY349">
        <v>0</v>
      </c>
      <c r="AZ349">
        <v>0</v>
      </c>
      <c r="BA349">
        <v>0</v>
      </c>
      <c r="BB349">
        <v>0</v>
      </c>
      <c r="BC349">
        <v>0</v>
      </c>
      <c r="BD349">
        <v>0</v>
      </c>
      <c r="BE349">
        <v>0</v>
      </c>
      <c r="BF349">
        <v>0</v>
      </c>
      <c r="BG349">
        <v>0</v>
      </c>
      <c r="BH349">
        <v>6</v>
      </c>
      <c r="BI349">
        <v>20</v>
      </c>
      <c r="BJ349">
        <v>49</v>
      </c>
      <c r="BK349">
        <v>49</v>
      </c>
      <c r="BL349">
        <v>574.38</v>
      </c>
      <c r="BM349">
        <v>86.16</v>
      </c>
      <c r="BN349">
        <v>660.54</v>
      </c>
      <c r="BO349">
        <v>660.54</v>
      </c>
      <c r="BQ349" t="s">
        <v>1183</v>
      </c>
      <c r="BS349" s="3">
        <v>45890</v>
      </c>
      <c r="BT349" s="4">
        <v>0.61388888888888893</v>
      </c>
      <c r="BU349" t="s">
        <v>1184</v>
      </c>
      <c r="BV349" t="s">
        <v>90</v>
      </c>
      <c r="BY349">
        <v>244791.34</v>
      </c>
      <c r="BZ349" t="s">
        <v>1185</v>
      </c>
      <c r="CA349" t="s">
        <v>1186</v>
      </c>
      <c r="CC349" t="s">
        <v>1181</v>
      </c>
      <c r="CD349">
        <v>2525</v>
      </c>
      <c r="CE349" t="s">
        <v>1187</v>
      </c>
      <c r="CF349" s="3">
        <v>45891</v>
      </c>
      <c r="CI349">
        <v>1</v>
      </c>
      <c r="CJ349">
        <v>2</v>
      </c>
      <c r="CK349">
        <v>43</v>
      </c>
      <c r="CL349" t="s">
        <v>90</v>
      </c>
    </row>
    <row r="350" spans="1:90" x14ac:dyDescent="0.3">
      <c r="A350" t="s">
        <v>72</v>
      </c>
      <c r="B350" t="s">
        <v>73</v>
      </c>
      <c r="C350" t="s">
        <v>74</v>
      </c>
      <c r="E350" t="str">
        <f>"GAB2027621"</f>
        <v>GAB2027621</v>
      </c>
      <c r="F350" s="3">
        <v>45873</v>
      </c>
      <c r="G350">
        <v>202605</v>
      </c>
      <c r="H350" t="s">
        <v>75</v>
      </c>
      <c r="I350" t="s">
        <v>76</v>
      </c>
      <c r="J350" t="s">
        <v>77</v>
      </c>
      <c r="K350" t="s">
        <v>78</v>
      </c>
      <c r="L350" t="s">
        <v>91</v>
      </c>
      <c r="M350" t="s">
        <v>92</v>
      </c>
      <c r="N350" t="s">
        <v>1188</v>
      </c>
      <c r="O350" t="s">
        <v>82</v>
      </c>
      <c r="P350" t="str">
        <f>"INV-0019829 CT096181          "</f>
        <v xml:space="preserve">INV-0019829 CT096181          </v>
      </c>
      <c r="Q350">
        <v>0</v>
      </c>
      <c r="R350">
        <v>0</v>
      </c>
      <c r="S350">
        <v>0</v>
      </c>
      <c r="T350">
        <v>0</v>
      </c>
      <c r="U350">
        <v>0</v>
      </c>
      <c r="V350">
        <v>0</v>
      </c>
      <c r="W350">
        <v>0</v>
      </c>
      <c r="X350">
        <v>0</v>
      </c>
      <c r="Y350">
        <v>0</v>
      </c>
      <c r="Z350">
        <v>0</v>
      </c>
      <c r="AA350">
        <v>0</v>
      </c>
      <c r="AB350">
        <v>0</v>
      </c>
      <c r="AC350">
        <v>0</v>
      </c>
      <c r="AD350">
        <v>0</v>
      </c>
      <c r="AE350">
        <v>0</v>
      </c>
      <c r="AF350">
        <v>0</v>
      </c>
      <c r="AG350">
        <v>5.87</v>
      </c>
      <c r="AH350">
        <v>0</v>
      </c>
      <c r="AI350">
        <v>0</v>
      </c>
      <c r="AJ350">
        <v>0</v>
      </c>
      <c r="AK350">
        <v>0</v>
      </c>
      <c r="AL350">
        <v>0</v>
      </c>
      <c r="AM350">
        <v>0</v>
      </c>
      <c r="AN350">
        <v>0</v>
      </c>
      <c r="AO350">
        <v>0</v>
      </c>
      <c r="AP350">
        <v>0</v>
      </c>
      <c r="AQ350">
        <v>77.98</v>
      </c>
      <c r="AR350">
        <v>0</v>
      </c>
      <c r="AS350">
        <v>0</v>
      </c>
      <c r="AT350">
        <v>0</v>
      </c>
      <c r="AU350">
        <v>0</v>
      </c>
      <c r="AV350">
        <v>0</v>
      </c>
      <c r="AW350">
        <v>0</v>
      </c>
      <c r="AX350">
        <v>0</v>
      </c>
      <c r="AY350">
        <v>0</v>
      </c>
      <c r="AZ350">
        <v>0</v>
      </c>
      <c r="BA350">
        <v>0</v>
      </c>
      <c r="BB350">
        <v>0</v>
      </c>
      <c r="BC350">
        <v>0</v>
      </c>
      <c r="BD350">
        <v>0</v>
      </c>
      <c r="BE350">
        <v>0</v>
      </c>
      <c r="BF350">
        <v>0</v>
      </c>
      <c r="BG350">
        <v>0</v>
      </c>
      <c r="BH350">
        <v>5</v>
      </c>
      <c r="BI350">
        <v>14.9</v>
      </c>
      <c r="BJ350">
        <v>33.700000000000003</v>
      </c>
      <c r="BK350">
        <v>34</v>
      </c>
      <c r="BL350">
        <v>251.55</v>
      </c>
      <c r="BM350">
        <v>37.729999999999997</v>
      </c>
      <c r="BN350">
        <v>289.27999999999997</v>
      </c>
      <c r="BO350">
        <v>289.27999999999997</v>
      </c>
      <c r="BQ350" t="s">
        <v>1189</v>
      </c>
      <c r="BR350" t="s">
        <v>84</v>
      </c>
      <c r="BS350" s="3">
        <v>45880</v>
      </c>
      <c r="BT350" s="4">
        <v>0.45347222222222222</v>
      </c>
      <c r="BU350" t="s">
        <v>1190</v>
      </c>
      <c r="BV350" t="s">
        <v>90</v>
      </c>
      <c r="BW350" t="s">
        <v>294</v>
      </c>
      <c r="BX350" t="s">
        <v>319</v>
      </c>
      <c r="BY350">
        <v>168716.07</v>
      </c>
      <c r="BZ350" t="s">
        <v>530</v>
      </c>
      <c r="CC350" t="s">
        <v>92</v>
      </c>
      <c r="CD350">
        <v>4001</v>
      </c>
      <c r="CE350" t="s">
        <v>1191</v>
      </c>
      <c r="CF350" s="3">
        <v>45881</v>
      </c>
      <c r="CI350">
        <v>3</v>
      </c>
      <c r="CJ350">
        <v>5</v>
      </c>
      <c r="CK350">
        <v>41</v>
      </c>
      <c r="CL350" t="s">
        <v>90</v>
      </c>
    </row>
    <row r="351" spans="1:90" x14ac:dyDescent="0.3">
      <c r="A351" t="s">
        <v>72</v>
      </c>
      <c r="B351" t="s">
        <v>73</v>
      </c>
      <c r="C351" t="s">
        <v>74</v>
      </c>
      <c r="E351" t="str">
        <f>"GAB2027814"</f>
        <v>GAB2027814</v>
      </c>
      <c r="F351" s="3">
        <v>45880</v>
      </c>
      <c r="G351">
        <v>202605</v>
      </c>
      <c r="H351" t="s">
        <v>75</v>
      </c>
      <c r="I351" t="s">
        <v>76</v>
      </c>
      <c r="J351" t="s">
        <v>257</v>
      </c>
      <c r="K351" t="s">
        <v>78</v>
      </c>
      <c r="L351" t="s">
        <v>190</v>
      </c>
      <c r="M351" t="s">
        <v>191</v>
      </c>
      <c r="N351" t="s">
        <v>1192</v>
      </c>
      <c r="O351" t="s">
        <v>82</v>
      </c>
      <c r="P351" t="str">
        <f>"00120069 068 096569 572       "</f>
        <v xml:space="preserve">00120069 068 096569 572       </v>
      </c>
      <c r="Q351">
        <v>0</v>
      </c>
      <c r="R351">
        <v>0</v>
      </c>
      <c r="S351">
        <v>0</v>
      </c>
      <c r="T351">
        <v>0</v>
      </c>
      <c r="U351">
        <v>0</v>
      </c>
      <c r="V351">
        <v>0</v>
      </c>
      <c r="W351">
        <v>0</v>
      </c>
      <c r="X351">
        <v>0</v>
      </c>
      <c r="Y351">
        <v>0</v>
      </c>
      <c r="Z351">
        <v>0</v>
      </c>
      <c r="AA351">
        <v>0</v>
      </c>
      <c r="AB351">
        <v>0</v>
      </c>
      <c r="AC351">
        <v>0</v>
      </c>
      <c r="AD351">
        <v>0</v>
      </c>
      <c r="AE351">
        <v>0</v>
      </c>
      <c r="AF351">
        <v>0</v>
      </c>
      <c r="AG351">
        <v>5.87</v>
      </c>
      <c r="AH351">
        <v>0</v>
      </c>
      <c r="AI351">
        <v>0</v>
      </c>
      <c r="AJ351">
        <v>0</v>
      </c>
      <c r="AK351">
        <v>0</v>
      </c>
      <c r="AL351">
        <v>0</v>
      </c>
      <c r="AM351">
        <v>0</v>
      </c>
      <c r="AN351">
        <v>0</v>
      </c>
      <c r="AO351">
        <v>0</v>
      </c>
      <c r="AP351">
        <v>0</v>
      </c>
      <c r="AQ351">
        <v>123.89</v>
      </c>
      <c r="AR351">
        <v>0</v>
      </c>
      <c r="AS351">
        <v>0</v>
      </c>
      <c r="AT351">
        <v>0</v>
      </c>
      <c r="AU351">
        <v>0</v>
      </c>
      <c r="AV351">
        <v>0</v>
      </c>
      <c r="AW351">
        <v>0</v>
      </c>
      <c r="AX351">
        <v>0</v>
      </c>
      <c r="AY351">
        <v>0</v>
      </c>
      <c r="AZ351">
        <v>0</v>
      </c>
      <c r="BA351">
        <v>0</v>
      </c>
      <c r="BB351">
        <v>0</v>
      </c>
      <c r="BC351">
        <v>0</v>
      </c>
      <c r="BD351">
        <v>0</v>
      </c>
      <c r="BE351">
        <v>0</v>
      </c>
      <c r="BF351">
        <v>0</v>
      </c>
      <c r="BG351">
        <v>0</v>
      </c>
      <c r="BH351">
        <v>4</v>
      </c>
      <c r="BI351">
        <v>28.4</v>
      </c>
      <c r="BJ351">
        <v>57.5</v>
      </c>
      <c r="BK351">
        <v>58</v>
      </c>
      <c r="BL351">
        <v>390.58</v>
      </c>
      <c r="BM351">
        <v>58.59</v>
      </c>
      <c r="BN351">
        <v>449.17</v>
      </c>
      <c r="BO351">
        <v>449.17</v>
      </c>
      <c r="BQ351" t="s">
        <v>399</v>
      </c>
      <c r="BR351" t="s">
        <v>491</v>
      </c>
      <c r="BS351" s="3">
        <v>45882</v>
      </c>
      <c r="BT351" s="4">
        <v>0.63958333333333328</v>
      </c>
      <c r="BU351" t="s">
        <v>1193</v>
      </c>
      <c r="BV351" t="s">
        <v>86</v>
      </c>
      <c r="BY351">
        <v>287303.74</v>
      </c>
      <c r="BZ351" t="s">
        <v>530</v>
      </c>
      <c r="CA351" t="s">
        <v>1194</v>
      </c>
      <c r="CC351" t="s">
        <v>191</v>
      </c>
      <c r="CD351" s="5" t="s">
        <v>196</v>
      </c>
      <c r="CE351" t="s">
        <v>1195</v>
      </c>
      <c r="CF351" s="3">
        <v>45882</v>
      </c>
      <c r="CI351">
        <v>3</v>
      </c>
      <c r="CJ351">
        <v>2</v>
      </c>
      <c r="CK351">
        <v>41</v>
      </c>
      <c r="CL351" t="s">
        <v>90</v>
      </c>
    </row>
    <row r="352" spans="1:90" x14ac:dyDescent="0.3">
      <c r="A352" t="s">
        <v>72</v>
      </c>
      <c r="B352" t="s">
        <v>73</v>
      </c>
      <c r="C352" t="s">
        <v>74</v>
      </c>
      <c r="E352" t="str">
        <f>"GAB2027969"</f>
        <v>GAB2027969</v>
      </c>
      <c r="F352" s="3">
        <v>45889</v>
      </c>
      <c r="G352">
        <v>202605</v>
      </c>
      <c r="H352" t="s">
        <v>75</v>
      </c>
      <c r="I352" t="s">
        <v>76</v>
      </c>
      <c r="J352" t="s">
        <v>77</v>
      </c>
      <c r="K352" t="s">
        <v>78</v>
      </c>
      <c r="L352" t="s">
        <v>308</v>
      </c>
      <c r="M352" t="s">
        <v>309</v>
      </c>
      <c r="N352" t="s">
        <v>310</v>
      </c>
      <c r="O352" t="s">
        <v>100</v>
      </c>
      <c r="P352" t="str">
        <f>"00120279 096723               "</f>
        <v xml:space="preserve">00120279 096723               </v>
      </c>
      <c r="Q352">
        <v>0</v>
      </c>
      <c r="R352">
        <v>0</v>
      </c>
      <c r="S352">
        <v>0</v>
      </c>
      <c r="T352">
        <v>0</v>
      </c>
      <c r="U352">
        <v>0</v>
      </c>
      <c r="V352">
        <v>0</v>
      </c>
      <c r="W352">
        <v>0</v>
      </c>
      <c r="X352">
        <v>0</v>
      </c>
      <c r="Y352">
        <v>0</v>
      </c>
      <c r="Z352">
        <v>0</v>
      </c>
      <c r="AA352">
        <v>0</v>
      </c>
      <c r="AB352">
        <v>0</v>
      </c>
      <c r="AC352">
        <v>0</v>
      </c>
      <c r="AD352">
        <v>0</v>
      </c>
      <c r="AE352">
        <v>0</v>
      </c>
      <c r="AF352">
        <v>0</v>
      </c>
      <c r="AG352">
        <v>0</v>
      </c>
      <c r="AH352">
        <v>0</v>
      </c>
      <c r="AI352">
        <v>0</v>
      </c>
      <c r="AJ352">
        <v>0</v>
      </c>
      <c r="AK352">
        <v>0</v>
      </c>
      <c r="AL352">
        <v>0</v>
      </c>
      <c r="AM352">
        <v>0</v>
      </c>
      <c r="AN352">
        <v>0</v>
      </c>
      <c r="AO352">
        <v>0</v>
      </c>
      <c r="AP352">
        <v>0</v>
      </c>
      <c r="AQ352">
        <v>44.73</v>
      </c>
      <c r="AR352">
        <v>0</v>
      </c>
      <c r="AS352">
        <v>0</v>
      </c>
      <c r="AT352">
        <v>0</v>
      </c>
      <c r="AU352">
        <v>0</v>
      </c>
      <c r="AV352">
        <v>0</v>
      </c>
      <c r="AW352">
        <v>0</v>
      </c>
      <c r="AX352">
        <v>0</v>
      </c>
      <c r="AY352">
        <v>0</v>
      </c>
      <c r="AZ352">
        <v>0</v>
      </c>
      <c r="BA352">
        <v>0</v>
      </c>
      <c r="BB352">
        <v>0</v>
      </c>
      <c r="BC352">
        <v>0</v>
      </c>
      <c r="BD352">
        <v>0</v>
      </c>
      <c r="BE352">
        <v>0</v>
      </c>
      <c r="BF352">
        <v>0</v>
      </c>
      <c r="BG352">
        <v>0</v>
      </c>
      <c r="BH352">
        <v>1</v>
      </c>
      <c r="BI352">
        <v>0.2</v>
      </c>
      <c r="BJ352">
        <v>2</v>
      </c>
      <c r="BK352">
        <v>2</v>
      </c>
      <c r="BL352">
        <v>138.88999999999999</v>
      </c>
      <c r="BM352">
        <v>20.83</v>
      </c>
      <c r="BN352">
        <v>159.72</v>
      </c>
      <c r="BO352">
        <v>159.72</v>
      </c>
      <c r="BQ352" t="s">
        <v>448</v>
      </c>
      <c r="BR352" t="s">
        <v>84</v>
      </c>
      <c r="BS352" s="3">
        <v>45890</v>
      </c>
      <c r="BT352" s="4">
        <v>0.41736111111111113</v>
      </c>
      <c r="BU352" t="s">
        <v>312</v>
      </c>
      <c r="BV352" t="s">
        <v>86</v>
      </c>
      <c r="BY352">
        <v>10228.14</v>
      </c>
      <c r="BZ352" t="s">
        <v>102</v>
      </c>
      <c r="CA352" t="s">
        <v>313</v>
      </c>
      <c r="CC352" t="s">
        <v>309</v>
      </c>
      <c r="CD352" s="5" t="s">
        <v>314</v>
      </c>
      <c r="CE352" t="s">
        <v>686</v>
      </c>
      <c r="CF352" s="3">
        <v>45891</v>
      </c>
      <c r="CI352">
        <v>2</v>
      </c>
      <c r="CJ352">
        <v>1</v>
      </c>
      <c r="CK352">
        <v>23</v>
      </c>
      <c r="CL352" t="s">
        <v>90</v>
      </c>
    </row>
    <row r="353" spans="1:90" x14ac:dyDescent="0.3">
      <c r="A353" t="s">
        <v>72</v>
      </c>
      <c r="B353" t="s">
        <v>73</v>
      </c>
      <c r="C353" t="s">
        <v>74</v>
      </c>
      <c r="E353" t="str">
        <f>"GAB2027971"</f>
        <v>GAB2027971</v>
      </c>
      <c r="F353" s="3">
        <v>45889</v>
      </c>
      <c r="G353">
        <v>202605</v>
      </c>
      <c r="H353" t="s">
        <v>75</v>
      </c>
      <c r="I353" t="s">
        <v>76</v>
      </c>
      <c r="J353" t="s">
        <v>77</v>
      </c>
      <c r="K353" t="s">
        <v>78</v>
      </c>
      <c r="L353" t="s">
        <v>415</v>
      </c>
      <c r="M353" t="s">
        <v>416</v>
      </c>
      <c r="N353" t="s">
        <v>1196</v>
      </c>
      <c r="O353" t="s">
        <v>1197</v>
      </c>
      <c r="P353" t="str">
        <f>"00120275 096719               "</f>
        <v xml:space="preserve">00120275 096719               </v>
      </c>
      <c r="Q353">
        <v>0</v>
      </c>
      <c r="R353">
        <v>0</v>
      </c>
      <c r="S353">
        <v>0</v>
      </c>
      <c r="T353">
        <v>0</v>
      </c>
      <c r="U353">
        <v>0</v>
      </c>
      <c r="V353">
        <v>0</v>
      </c>
      <c r="W353">
        <v>0</v>
      </c>
      <c r="X353">
        <v>0</v>
      </c>
      <c r="Y353">
        <v>0</v>
      </c>
      <c r="Z353">
        <v>0</v>
      </c>
      <c r="AA353">
        <v>0</v>
      </c>
      <c r="AB353">
        <v>0</v>
      </c>
      <c r="AC353">
        <v>0</v>
      </c>
      <c r="AD353">
        <v>0</v>
      </c>
      <c r="AE353">
        <v>0</v>
      </c>
      <c r="AF353">
        <v>0</v>
      </c>
      <c r="AG353">
        <v>0</v>
      </c>
      <c r="AH353">
        <v>0</v>
      </c>
      <c r="AI353">
        <v>0</v>
      </c>
      <c r="AJ353">
        <v>0</v>
      </c>
      <c r="AK353">
        <v>0</v>
      </c>
      <c r="AL353">
        <v>0</v>
      </c>
      <c r="AM353">
        <v>0</v>
      </c>
      <c r="AN353">
        <v>0</v>
      </c>
      <c r="AO353">
        <v>0</v>
      </c>
      <c r="AP353">
        <v>0</v>
      </c>
      <c r="AQ353">
        <v>963.03</v>
      </c>
      <c r="AR353">
        <v>0</v>
      </c>
      <c r="AS353">
        <v>0</v>
      </c>
      <c r="AT353">
        <v>0</v>
      </c>
      <c r="AU353">
        <v>0</v>
      </c>
      <c r="AV353">
        <v>0</v>
      </c>
      <c r="AW353">
        <v>0</v>
      </c>
      <c r="AX353">
        <v>0</v>
      </c>
      <c r="AY353">
        <v>0</v>
      </c>
      <c r="AZ353">
        <v>0</v>
      </c>
      <c r="BA353">
        <v>0</v>
      </c>
      <c r="BB353">
        <v>0</v>
      </c>
      <c r="BC353">
        <v>0</v>
      </c>
      <c r="BD353">
        <v>0</v>
      </c>
      <c r="BE353">
        <v>0</v>
      </c>
      <c r="BF353">
        <v>0</v>
      </c>
      <c r="BG353">
        <v>0</v>
      </c>
      <c r="BH353">
        <v>3</v>
      </c>
      <c r="BI353">
        <v>11.5</v>
      </c>
      <c r="BJ353">
        <v>44.3</v>
      </c>
      <c r="BK353">
        <v>44.5</v>
      </c>
      <c r="BL353">
        <v>2990.46</v>
      </c>
      <c r="BM353">
        <v>448.57</v>
      </c>
      <c r="BN353">
        <v>3439.03</v>
      </c>
      <c r="BO353">
        <v>3439.03</v>
      </c>
      <c r="BQ353" t="s">
        <v>1198</v>
      </c>
      <c r="BR353" t="s">
        <v>84</v>
      </c>
      <c r="BS353" s="3">
        <v>45890</v>
      </c>
      <c r="BT353" s="4">
        <v>0.4375</v>
      </c>
      <c r="BU353" t="s">
        <v>1199</v>
      </c>
      <c r="BV353" t="s">
        <v>86</v>
      </c>
      <c r="BY353">
        <v>221254.8</v>
      </c>
      <c r="BZ353" t="s">
        <v>606</v>
      </c>
      <c r="CA353" t="s">
        <v>1200</v>
      </c>
      <c r="CC353" t="s">
        <v>416</v>
      </c>
      <c r="CD353">
        <v>2196</v>
      </c>
      <c r="CE353" t="s">
        <v>1201</v>
      </c>
      <c r="CF353" s="3">
        <v>45890</v>
      </c>
      <c r="CI353">
        <v>1</v>
      </c>
      <c r="CJ353">
        <v>1</v>
      </c>
      <c r="CK353">
        <v>31</v>
      </c>
      <c r="CL353" t="s">
        <v>90</v>
      </c>
    </row>
    <row r="354" spans="1:90" x14ac:dyDescent="0.3">
      <c r="A354" t="s">
        <v>72</v>
      </c>
      <c r="B354" t="s">
        <v>73</v>
      </c>
      <c r="C354" t="s">
        <v>74</v>
      </c>
      <c r="E354" t="str">
        <f>"GAB2027972"</f>
        <v>GAB2027972</v>
      </c>
      <c r="F354" s="3">
        <v>45889</v>
      </c>
      <c r="G354">
        <v>202605</v>
      </c>
      <c r="H354" t="s">
        <v>75</v>
      </c>
      <c r="I354" t="s">
        <v>76</v>
      </c>
      <c r="J354" t="s">
        <v>77</v>
      </c>
      <c r="K354" t="s">
        <v>78</v>
      </c>
      <c r="L354" t="s">
        <v>132</v>
      </c>
      <c r="M354" t="s">
        <v>133</v>
      </c>
      <c r="N354" t="s">
        <v>134</v>
      </c>
      <c r="O354" t="s">
        <v>100</v>
      </c>
      <c r="P354" t="str">
        <f>"00120278 096726               "</f>
        <v xml:space="preserve">00120278 096726               </v>
      </c>
      <c r="Q354">
        <v>0</v>
      </c>
      <c r="R354">
        <v>0</v>
      </c>
      <c r="S354">
        <v>0</v>
      </c>
      <c r="T354">
        <v>0</v>
      </c>
      <c r="U354">
        <v>0</v>
      </c>
      <c r="V354">
        <v>0</v>
      </c>
      <c r="W354">
        <v>0</v>
      </c>
      <c r="X354">
        <v>0</v>
      </c>
      <c r="Y354">
        <v>0</v>
      </c>
      <c r="Z354">
        <v>0</v>
      </c>
      <c r="AA354">
        <v>0</v>
      </c>
      <c r="AB354">
        <v>0</v>
      </c>
      <c r="AC354">
        <v>0</v>
      </c>
      <c r="AD354">
        <v>0</v>
      </c>
      <c r="AE354">
        <v>0</v>
      </c>
      <c r="AF354">
        <v>0</v>
      </c>
      <c r="AG354">
        <v>0</v>
      </c>
      <c r="AH354">
        <v>0</v>
      </c>
      <c r="AI354">
        <v>0</v>
      </c>
      <c r="AJ354">
        <v>0</v>
      </c>
      <c r="AK354">
        <v>0</v>
      </c>
      <c r="AL354">
        <v>0</v>
      </c>
      <c r="AM354">
        <v>0</v>
      </c>
      <c r="AN354">
        <v>0</v>
      </c>
      <c r="AO354">
        <v>0</v>
      </c>
      <c r="AP354">
        <v>0</v>
      </c>
      <c r="AQ354">
        <v>44.73</v>
      </c>
      <c r="AR354">
        <v>0</v>
      </c>
      <c r="AS354">
        <v>0</v>
      </c>
      <c r="AT354">
        <v>0</v>
      </c>
      <c r="AU354">
        <v>0</v>
      </c>
      <c r="AV354">
        <v>0</v>
      </c>
      <c r="AW354">
        <v>0</v>
      </c>
      <c r="AX354">
        <v>0</v>
      </c>
      <c r="AY354">
        <v>0</v>
      </c>
      <c r="AZ354">
        <v>0</v>
      </c>
      <c r="BA354">
        <v>0</v>
      </c>
      <c r="BB354">
        <v>0</v>
      </c>
      <c r="BC354">
        <v>0</v>
      </c>
      <c r="BD354">
        <v>0</v>
      </c>
      <c r="BE354">
        <v>0</v>
      </c>
      <c r="BF354">
        <v>0</v>
      </c>
      <c r="BG354">
        <v>0</v>
      </c>
      <c r="BH354">
        <v>1</v>
      </c>
      <c r="BI354">
        <v>0.2</v>
      </c>
      <c r="BJ354">
        <v>1.8</v>
      </c>
      <c r="BK354">
        <v>2</v>
      </c>
      <c r="BL354">
        <v>138.88999999999999</v>
      </c>
      <c r="BM354">
        <v>20.83</v>
      </c>
      <c r="BN354">
        <v>159.72</v>
      </c>
      <c r="BO354">
        <v>159.72</v>
      </c>
      <c r="BQ354" t="s">
        <v>780</v>
      </c>
      <c r="BR354" t="s">
        <v>84</v>
      </c>
      <c r="BS354" s="3">
        <v>45890</v>
      </c>
      <c r="BT354" s="4">
        <v>0.45833333333333331</v>
      </c>
      <c r="BU354" t="s">
        <v>1202</v>
      </c>
      <c r="BV354" t="s">
        <v>86</v>
      </c>
      <c r="BY354">
        <v>8994.9599999999991</v>
      </c>
      <c r="BZ354" t="s">
        <v>102</v>
      </c>
      <c r="CA354" t="s">
        <v>1039</v>
      </c>
      <c r="CC354" t="s">
        <v>133</v>
      </c>
      <c r="CD354">
        <v>3100</v>
      </c>
      <c r="CE354" t="s">
        <v>686</v>
      </c>
      <c r="CF354" s="3">
        <v>45891</v>
      </c>
      <c r="CI354">
        <v>2</v>
      </c>
      <c r="CJ354">
        <v>1</v>
      </c>
      <c r="CK354">
        <v>23</v>
      </c>
      <c r="CL354" t="s">
        <v>90</v>
      </c>
    </row>
    <row r="355" spans="1:90" x14ac:dyDescent="0.3">
      <c r="A355" t="s">
        <v>72</v>
      </c>
      <c r="B355" t="s">
        <v>73</v>
      </c>
      <c r="C355" t="s">
        <v>74</v>
      </c>
      <c r="E355" t="str">
        <f>"GAB2027973"</f>
        <v>GAB2027973</v>
      </c>
      <c r="F355" s="3">
        <v>45889</v>
      </c>
      <c r="G355">
        <v>202605</v>
      </c>
      <c r="H355" t="s">
        <v>75</v>
      </c>
      <c r="I355" t="s">
        <v>76</v>
      </c>
      <c r="J355" t="s">
        <v>77</v>
      </c>
      <c r="K355" t="s">
        <v>78</v>
      </c>
      <c r="L355" t="s">
        <v>137</v>
      </c>
      <c r="M355" t="s">
        <v>138</v>
      </c>
      <c r="N355" t="s">
        <v>1203</v>
      </c>
      <c r="O355" t="s">
        <v>100</v>
      </c>
      <c r="P355" t="str">
        <f>"00038655 035631               "</f>
        <v xml:space="preserve">00038655 035631               </v>
      </c>
      <c r="Q355">
        <v>0</v>
      </c>
      <c r="R355">
        <v>0</v>
      </c>
      <c r="S355">
        <v>0</v>
      </c>
      <c r="T355">
        <v>0</v>
      </c>
      <c r="U355">
        <v>0</v>
      </c>
      <c r="V355">
        <v>0</v>
      </c>
      <c r="W355">
        <v>0</v>
      </c>
      <c r="X355">
        <v>0</v>
      </c>
      <c r="Y355">
        <v>0</v>
      </c>
      <c r="Z355">
        <v>0</v>
      </c>
      <c r="AA355">
        <v>0</v>
      </c>
      <c r="AB355">
        <v>0</v>
      </c>
      <c r="AC355">
        <v>0</v>
      </c>
      <c r="AD355">
        <v>0</v>
      </c>
      <c r="AE355">
        <v>0</v>
      </c>
      <c r="AF355">
        <v>0</v>
      </c>
      <c r="AG355">
        <v>0</v>
      </c>
      <c r="AH355">
        <v>0</v>
      </c>
      <c r="AI355">
        <v>0</v>
      </c>
      <c r="AJ355">
        <v>0</v>
      </c>
      <c r="AK355">
        <v>0</v>
      </c>
      <c r="AL355">
        <v>0</v>
      </c>
      <c r="AM355">
        <v>0</v>
      </c>
      <c r="AN355">
        <v>0</v>
      </c>
      <c r="AO355">
        <v>0</v>
      </c>
      <c r="AP355">
        <v>0</v>
      </c>
      <c r="AQ355">
        <v>32.47</v>
      </c>
      <c r="AR355">
        <v>0</v>
      </c>
      <c r="AS355">
        <v>0</v>
      </c>
      <c r="AT355">
        <v>0</v>
      </c>
      <c r="AU355">
        <v>0</v>
      </c>
      <c r="AV355">
        <v>0</v>
      </c>
      <c r="AW355">
        <v>0</v>
      </c>
      <c r="AX355">
        <v>0</v>
      </c>
      <c r="AY355">
        <v>0</v>
      </c>
      <c r="AZ355">
        <v>0</v>
      </c>
      <c r="BA355">
        <v>0</v>
      </c>
      <c r="BB355">
        <v>0</v>
      </c>
      <c r="BC355">
        <v>0</v>
      </c>
      <c r="BD355">
        <v>0</v>
      </c>
      <c r="BE355">
        <v>0</v>
      </c>
      <c r="BF355">
        <v>0</v>
      </c>
      <c r="BG355">
        <v>0</v>
      </c>
      <c r="BH355">
        <v>1</v>
      </c>
      <c r="BI355">
        <v>0.3</v>
      </c>
      <c r="BJ355">
        <v>1.9</v>
      </c>
      <c r="BK355">
        <v>2</v>
      </c>
      <c r="BL355">
        <v>100.82</v>
      </c>
      <c r="BM355">
        <v>15.12</v>
      </c>
      <c r="BN355">
        <v>115.94</v>
      </c>
      <c r="BO355">
        <v>115.94</v>
      </c>
      <c r="BQ355" t="s">
        <v>1204</v>
      </c>
      <c r="BR355" t="s">
        <v>84</v>
      </c>
      <c r="BS355" s="3">
        <v>45890</v>
      </c>
      <c r="BT355" s="4">
        <v>0.47013888888888888</v>
      </c>
      <c r="BU355" t="s">
        <v>1205</v>
      </c>
      <c r="BV355" t="s">
        <v>86</v>
      </c>
      <c r="BY355">
        <v>9735.9</v>
      </c>
      <c r="BZ355" t="s">
        <v>102</v>
      </c>
      <c r="CA355" t="s">
        <v>142</v>
      </c>
      <c r="CC355" t="s">
        <v>138</v>
      </c>
      <c r="CD355">
        <v>7130</v>
      </c>
      <c r="CE355" t="s">
        <v>143</v>
      </c>
      <c r="CF355" s="3">
        <v>45891</v>
      </c>
      <c r="CI355">
        <v>1</v>
      </c>
      <c r="CJ355">
        <v>1</v>
      </c>
      <c r="CK355">
        <v>24</v>
      </c>
      <c r="CL355" t="s">
        <v>90</v>
      </c>
    </row>
    <row r="356" spans="1:90" x14ac:dyDescent="0.3">
      <c r="A356" t="s">
        <v>72</v>
      </c>
      <c r="B356" t="s">
        <v>73</v>
      </c>
      <c r="C356" t="s">
        <v>74</v>
      </c>
      <c r="E356" t="str">
        <f>"GAB2027975"</f>
        <v>GAB2027975</v>
      </c>
      <c r="F356" s="3">
        <v>45889</v>
      </c>
      <c r="G356">
        <v>202605</v>
      </c>
      <c r="H356" t="s">
        <v>75</v>
      </c>
      <c r="I356" t="s">
        <v>76</v>
      </c>
      <c r="J356" t="s">
        <v>77</v>
      </c>
      <c r="K356" t="s">
        <v>78</v>
      </c>
      <c r="L356" t="s">
        <v>415</v>
      </c>
      <c r="M356" t="s">
        <v>416</v>
      </c>
      <c r="N356" t="s">
        <v>484</v>
      </c>
      <c r="O356" t="s">
        <v>100</v>
      </c>
      <c r="P356" t="str">
        <f>"00120282 096725               "</f>
        <v xml:space="preserve">00120282 096725               </v>
      </c>
      <c r="Q356">
        <v>0</v>
      </c>
      <c r="R356">
        <v>0</v>
      </c>
      <c r="S356">
        <v>0</v>
      </c>
      <c r="T356">
        <v>0</v>
      </c>
      <c r="U356">
        <v>0</v>
      </c>
      <c r="V356">
        <v>0</v>
      </c>
      <c r="W356">
        <v>0</v>
      </c>
      <c r="X356">
        <v>0</v>
      </c>
      <c r="Y356">
        <v>0</v>
      </c>
      <c r="Z356">
        <v>0</v>
      </c>
      <c r="AA356">
        <v>0</v>
      </c>
      <c r="AB356">
        <v>0</v>
      </c>
      <c r="AC356">
        <v>0</v>
      </c>
      <c r="AD356">
        <v>0</v>
      </c>
      <c r="AE356">
        <v>0</v>
      </c>
      <c r="AF356">
        <v>0</v>
      </c>
      <c r="AG356">
        <v>0</v>
      </c>
      <c r="AH356">
        <v>0</v>
      </c>
      <c r="AI356">
        <v>0</v>
      </c>
      <c r="AJ356">
        <v>0</v>
      </c>
      <c r="AK356">
        <v>0</v>
      </c>
      <c r="AL356">
        <v>0</v>
      </c>
      <c r="AM356">
        <v>0</v>
      </c>
      <c r="AN356">
        <v>0</v>
      </c>
      <c r="AO356">
        <v>0</v>
      </c>
      <c r="AP356">
        <v>0</v>
      </c>
      <c r="AQ356">
        <v>23.09</v>
      </c>
      <c r="AR356">
        <v>0</v>
      </c>
      <c r="AS356">
        <v>0</v>
      </c>
      <c r="AT356">
        <v>0</v>
      </c>
      <c r="AU356">
        <v>0</v>
      </c>
      <c r="AV356">
        <v>0</v>
      </c>
      <c r="AW356">
        <v>0</v>
      </c>
      <c r="AX356">
        <v>0</v>
      </c>
      <c r="AY356">
        <v>0</v>
      </c>
      <c r="AZ356">
        <v>0</v>
      </c>
      <c r="BA356">
        <v>0</v>
      </c>
      <c r="BB356">
        <v>0</v>
      </c>
      <c r="BC356">
        <v>0</v>
      </c>
      <c r="BD356">
        <v>0</v>
      </c>
      <c r="BE356">
        <v>0</v>
      </c>
      <c r="BF356">
        <v>0</v>
      </c>
      <c r="BG356">
        <v>0</v>
      </c>
      <c r="BH356">
        <v>1</v>
      </c>
      <c r="BI356">
        <v>0.2</v>
      </c>
      <c r="BJ356">
        <v>2</v>
      </c>
      <c r="BK356">
        <v>2</v>
      </c>
      <c r="BL356">
        <v>71.69</v>
      </c>
      <c r="BM356">
        <v>10.75</v>
      </c>
      <c r="BN356">
        <v>82.44</v>
      </c>
      <c r="BO356">
        <v>82.44</v>
      </c>
      <c r="BQ356" t="s">
        <v>1206</v>
      </c>
      <c r="BR356" t="s">
        <v>84</v>
      </c>
      <c r="BS356" s="3">
        <v>45890</v>
      </c>
      <c r="BT356" s="4">
        <v>0.41944444444444445</v>
      </c>
      <c r="BU356" t="s">
        <v>1207</v>
      </c>
      <c r="BV356" t="s">
        <v>86</v>
      </c>
      <c r="BY356">
        <v>9798.7199999999993</v>
      </c>
      <c r="BZ356" t="s">
        <v>102</v>
      </c>
      <c r="CA356" t="s">
        <v>487</v>
      </c>
      <c r="CC356" t="s">
        <v>416</v>
      </c>
      <c r="CD356">
        <v>2021</v>
      </c>
      <c r="CE356" t="s">
        <v>109</v>
      </c>
      <c r="CF356" s="3">
        <v>45890</v>
      </c>
      <c r="CI356">
        <v>1</v>
      </c>
      <c r="CJ356">
        <v>1</v>
      </c>
      <c r="CK356">
        <v>21</v>
      </c>
      <c r="CL356" t="s">
        <v>90</v>
      </c>
    </row>
    <row r="357" spans="1:90" x14ac:dyDescent="0.3">
      <c r="A357" t="s">
        <v>72</v>
      </c>
      <c r="B357" t="s">
        <v>73</v>
      </c>
      <c r="C357" t="s">
        <v>74</v>
      </c>
      <c r="E357" t="str">
        <f>"GAB2027976"</f>
        <v>GAB2027976</v>
      </c>
      <c r="F357" s="3">
        <v>45889</v>
      </c>
      <c r="G357">
        <v>202605</v>
      </c>
      <c r="H357" t="s">
        <v>75</v>
      </c>
      <c r="I357" t="s">
        <v>76</v>
      </c>
      <c r="J357" t="s">
        <v>77</v>
      </c>
      <c r="K357" t="s">
        <v>78</v>
      </c>
      <c r="L357" t="s">
        <v>1208</v>
      </c>
      <c r="M357" t="s">
        <v>1209</v>
      </c>
      <c r="N357" t="s">
        <v>1210</v>
      </c>
      <c r="O357" t="s">
        <v>100</v>
      </c>
      <c r="P357" t="str">
        <f>"00120292 096734               "</f>
        <v xml:space="preserve">00120292 096734               </v>
      </c>
      <c r="Q357">
        <v>0</v>
      </c>
      <c r="R357">
        <v>0</v>
      </c>
      <c r="S357">
        <v>0</v>
      </c>
      <c r="T357">
        <v>0</v>
      </c>
      <c r="U357">
        <v>0</v>
      </c>
      <c r="V357">
        <v>0</v>
      </c>
      <c r="W357">
        <v>0</v>
      </c>
      <c r="X357">
        <v>0</v>
      </c>
      <c r="Y357">
        <v>0</v>
      </c>
      <c r="Z357">
        <v>0</v>
      </c>
      <c r="AA357">
        <v>0</v>
      </c>
      <c r="AB357">
        <v>0</v>
      </c>
      <c r="AC357">
        <v>0</v>
      </c>
      <c r="AD357">
        <v>0</v>
      </c>
      <c r="AE357">
        <v>0</v>
      </c>
      <c r="AF357">
        <v>0</v>
      </c>
      <c r="AG357">
        <v>0</v>
      </c>
      <c r="AH357">
        <v>0</v>
      </c>
      <c r="AI357">
        <v>0</v>
      </c>
      <c r="AJ357">
        <v>0</v>
      </c>
      <c r="AK357">
        <v>0</v>
      </c>
      <c r="AL357">
        <v>0</v>
      </c>
      <c r="AM357">
        <v>0</v>
      </c>
      <c r="AN357">
        <v>0</v>
      </c>
      <c r="AO357">
        <v>0</v>
      </c>
      <c r="AP357">
        <v>0</v>
      </c>
      <c r="AQ357">
        <v>54.82</v>
      </c>
      <c r="AR357">
        <v>0</v>
      </c>
      <c r="AS357">
        <v>0</v>
      </c>
      <c r="AT357">
        <v>0</v>
      </c>
      <c r="AU357">
        <v>0</v>
      </c>
      <c r="AV357">
        <v>0</v>
      </c>
      <c r="AW357">
        <v>0</v>
      </c>
      <c r="AX357">
        <v>0</v>
      </c>
      <c r="AY357">
        <v>0</v>
      </c>
      <c r="AZ357">
        <v>0</v>
      </c>
      <c r="BA357">
        <v>0</v>
      </c>
      <c r="BB357">
        <v>0</v>
      </c>
      <c r="BC357">
        <v>0</v>
      </c>
      <c r="BD357">
        <v>0</v>
      </c>
      <c r="BE357">
        <v>0</v>
      </c>
      <c r="BF357">
        <v>0</v>
      </c>
      <c r="BG357">
        <v>0</v>
      </c>
      <c r="BH357">
        <v>1</v>
      </c>
      <c r="BI357">
        <v>1</v>
      </c>
      <c r="BJ357">
        <v>2.2999999999999998</v>
      </c>
      <c r="BK357">
        <v>2.5</v>
      </c>
      <c r="BL357">
        <v>170.24</v>
      </c>
      <c r="BM357">
        <v>25.54</v>
      </c>
      <c r="BN357">
        <v>195.78</v>
      </c>
      <c r="BO357">
        <v>195.78</v>
      </c>
      <c r="BQ357" t="s">
        <v>1211</v>
      </c>
      <c r="BR357" t="s">
        <v>84</v>
      </c>
      <c r="BS357" s="3">
        <v>45891</v>
      </c>
      <c r="BT357" s="4">
        <v>0.53125</v>
      </c>
      <c r="BU357" t="s">
        <v>1212</v>
      </c>
      <c r="BV357" t="s">
        <v>86</v>
      </c>
      <c r="BY357">
        <v>11635.39</v>
      </c>
      <c r="BZ357" t="s">
        <v>1213</v>
      </c>
      <c r="CA357" t="s">
        <v>1214</v>
      </c>
      <c r="CC357" t="s">
        <v>1209</v>
      </c>
      <c r="CD357">
        <v>3242</v>
      </c>
      <c r="CE357" t="s">
        <v>335</v>
      </c>
      <c r="CF357" s="3">
        <v>45892</v>
      </c>
      <c r="CI357">
        <v>2</v>
      </c>
      <c r="CJ357">
        <v>2</v>
      </c>
      <c r="CK357">
        <v>23</v>
      </c>
      <c r="CL357" t="s">
        <v>90</v>
      </c>
    </row>
    <row r="358" spans="1:90" x14ac:dyDescent="0.3">
      <c r="A358" t="s">
        <v>72</v>
      </c>
      <c r="B358" t="s">
        <v>73</v>
      </c>
      <c r="C358" t="s">
        <v>74</v>
      </c>
      <c r="E358" t="str">
        <f>"GAB2027977"</f>
        <v>GAB2027977</v>
      </c>
      <c r="F358" s="3">
        <v>45889</v>
      </c>
      <c r="G358">
        <v>202605</v>
      </c>
      <c r="H358" t="s">
        <v>75</v>
      </c>
      <c r="I358" t="s">
        <v>76</v>
      </c>
      <c r="J358" t="s">
        <v>77</v>
      </c>
      <c r="K358" t="s">
        <v>78</v>
      </c>
      <c r="L358" t="s">
        <v>126</v>
      </c>
      <c r="M358" t="s">
        <v>127</v>
      </c>
      <c r="N358" t="s">
        <v>1215</v>
      </c>
      <c r="O358" t="s">
        <v>100</v>
      </c>
      <c r="P358" t="str">
        <f>"00120290 096736               "</f>
        <v xml:space="preserve">00120290 096736               </v>
      </c>
      <c r="Q358">
        <v>0</v>
      </c>
      <c r="R358">
        <v>0</v>
      </c>
      <c r="S358">
        <v>0</v>
      </c>
      <c r="T358">
        <v>0</v>
      </c>
      <c r="U358">
        <v>0</v>
      </c>
      <c r="V358">
        <v>0</v>
      </c>
      <c r="W358">
        <v>0</v>
      </c>
      <c r="X358">
        <v>0</v>
      </c>
      <c r="Y358">
        <v>0</v>
      </c>
      <c r="Z358">
        <v>0</v>
      </c>
      <c r="AA358">
        <v>0</v>
      </c>
      <c r="AB358">
        <v>0</v>
      </c>
      <c r="AC358">
        <v>0</v>
      </c>
      <c r="AD358">
        <v>0</v>
      </c>
      <c r="AE358">
        <v>0</v>
      </c>
      <c r="AF358">
        <v>0</v>
      </c>
      <c r="AG358">
        <v>0</v>
      </c>
      <c r="AH358">
        <v>0</v>
      </c>
      <c r="AI358">
        <v>0</v>
      </c>
      <c r="AJ358">
        <v>0</v>
      </c>
      <c r="AK358">
        <v>0</v>
      </c>
      <c r="AL358">
        <v>0</v>
      </c>
      <c r="AM358">
        <v>0</v>
      </c>
      <c r="AN358">
        <v>0</v>
      </c>
      <c r="AO358">
        <v>0</v>
      </c>
      <c r="AP358">
        <v>0</v>
      </c>
      <c r="AQ358">
        <v>18.03</v>
      </c>
      <c r="AR358">
        <v>0</v>
      </c>
      <c r="AS358">
        <v>0</v>
      </c>
      <c r="AT358">
        <v>0</v>
      </c>
      <c r="AU358">
        <v>0</v>
      </c>
      <c r="AV358">
        <v>0</v>
      </c>
      <c r="AW358">
        <v>0</v>
      </c>
      <c r="AX358">
        <v>0</v>
      </c>
      <c r="AY358">
        <v>0</v>
      </c>
      <c r="AZ358">
        <v>0</v>
      </c>
      <c r="BA358">
        <v>0</v>
      </c>
      <c r="BB358">
        <v>0</v>
      </c>
      <c r="BC358">
        <v>0</v>
      </c>
      <c r="BD358">
        <v>0</v>
      </c>
      <c r="BE358">
        <v>0</v>
      </c>
      <c r="BF358">
        <v>0</v>
      </c>
      <c r="BG358">
        <v>0</v>
      </c>
      <c r="BH358">
        <v>1</v>
      </c>
      <c r="BI358">
        <v>0.2</v>
      </c>
      <c r="BJ358">
        <v>1.7</v>
      </c>
      <c r="BK358">
        <v>2</v>
      </c>
      <c r="BL358">
        <v>55.99</v>
      </c>
      <c r="BM358">
        <v>8.4</v>
      </c>
      <c r="BN358">
        <v>64.39</v>
      </c>
      <c r="BO358">
        <v>64.39</v>
      </c>
      <c r="BQ358" t="s">
        <v>815</v>
      </c>
      <c r="BR358" t="s">
        <v>84</v>
      </c>
      <c r="BS358" s="3">
        <v>45890</v>
      </c>
      <c r="BT358" s="4">
        <v>0.41041666666666665</v>
      </c>
      <c r="BU358" t="s">
        <v>1216</v>
      </c>
      <c r="BV358" t="s">
        <v>86</v>
      </c>
      <c r="BY358">
        <v>8454.9500000000007</v>
      </c>
      <c r="BZ358" t="s">
        <v>102</v>
      </c>
      <c r="CA358" t="s">
        <v>131</v>
      </c>
      <c r="CC358" t="s">
        <v>127</v>
      </c>
      <c r="CD358">
        <v>7600</v>
      </c>
      <c r="CE358" t="s">
        <v>686</v>
      </c>
      <c r="CF358" s="3">
        <v>45891</v>
      </c>
      <c r="CI358">
        <v>1</v>
      </c>
      <c r="CJ358">
        <v>1</v>
      </c>
      <c r="CK358">
        <v>22</v>
      </c>
      <c r="CL358" t="s">
        <v>90</v>
      </c>
    </row>
    <row r="359" spans="1:90" x14ac:dyDescent="0.3">
      <c r="A359" t="s">
        <v>72</v>
      </c>
      <c r="B359" t="s">
        <v>73</v>
      </c>
      <c r="C359" t="s">
        <v>74</v>
      </c>
      <c r="E359" t="str">
        <f>"GAB2027978"</f>
        <v>GAB2027978</v>
      </c>
      <c r="F359" s="3">
        <v>45889</v>
      </c>
      <c r="G359">
        <v>202605</v>
      </c>
      <c r="H359" t="s">
        <v>75</v>
      </c>
      <c r="I359" t="s">
        <v>76</v>
      </c>
      <c r="J359" t="s">
        <v>77</v>
      </c>
      <c r="K359" t="s">
        <v>78</v>
      </c>
      <c r="L359" t="s">
        <v>494</v>
      </c>
      <c r="M359" t="s">
        <v>495</v>
      </c>
      <c r="N359" t="s">
        <v>1217</v>
      </c>
      <c r="O359" t="s">
        <v>100</v>
      </c>
      <c r="P359" t="str">
        <f>"00120295 096731               "</f>
        <v xml:space="preserve">00120295 096731               </v>
      </c>
      <c r="Q359">
        <v>0</v>
      </c>
      <c r="R359">
        <v>0</v>
      </c>
      <c r="S359">
        <v>0</v>
      </c>
      <c r="T359">
        <v>0</v>
      </c>
      <c r="U359">
        <v>0</v>
      </c>
      <c r="V359">
        <v>0</v>
      </c>
      <c r="W359">
        <v>0</v>
      </c>
      <c r="X359">
        <v>0</v>
      </c>
      <c r="Y359">
        <v>0</v>
      </c>
      <c r="Z359">
        <v>0</v>
      </c>
      <c r="AA359">
        <v>0</v>
      </c>
      <c r="AB359">
        <v>0</v>
      </c>
      <c r="AC359">
        <v>0</v>
      </c>
      <c r="AD359">
        <v>0</v>
      </c>
      <c r="AE359">
        <v>0</v>
      </c>
      <c r="AF359">
        <v>0</v>
      </c>
      <c r="AG359">
        <v>0</v>
      </c>
      <c r="AH359">
        <v>0</v>
      </c>
      <c r="AI359">
        <v>0</v>
      </c>
      <c r="AJ359">
        <v>0</v>
      </c>
      <c r="AK359">
        <v>0</v>
      </c>
      <c r="AL359">
        <v>0</v>
      </c>
      <c r="AM359">
        <v>0</v>
      </c>
      <c r="AN359">
        <v>0</v>
      </c>
      <c r="AO359">
        <v>0</v>
      </c>
      <c r="AP359">
        <v>0</v>
      </c>
      <c r="AQ359">
        <v>23.09</v>
      </c>
      <c r="AR359">
        <v>0</v>
      </c>
      <c r="AS359">
        <v>0</v>
      </c>
      <c r="AT359">
        <v>0</v>
      </c>
      <c r="AU359">
        <v>0</v>
      </c>
      <c r="AV359">
        <v>0</v>
      </c>
      <c r="AW359">
        <v>0</v>
      </c>
      <c r="AX359">
        <v>0</v>
      </c>
      <c r="AY359">
        <v>0</v>
      </c>
      <c r="AZ359">
        <v>0</v>
      </c>
      <c r="BA359">
        <v>0</v>
      </c>
      <c r="BB359">
        <v>0</v>
      </c>
      <c r="BC359">
        <v>0</v>
      </c>
      <c r="BD359">
        <v>0</v>
      </c>
      <c r="BE359">
        <v>0</v>
      </c>
      <c r="BF359">
        <v>0</v>
      </c>
      <c r="BG359">
        <v>0</v>
      </c>
      <c r="BH359">
        <v>1</v>
      </c>
      <c r="BI359">
        <v>0.2</v>
      </c>
      <c r="BJ359">
        <v>1.8</v>
      </c>
      <c r="BK359">
        <v>2</v>
      </c>
      <c r="BL359">
        <v>71.69</v>
      </c>
      <c r="BM359">
        <v>10.75</v>
      </c>
      <c r="BN359">
        <v>82.44</v>
      </c>
      <c r="BO359">
        <v>82.44</v>
      </c>
      <c r="BQ359" t="s">
        <v>1218</v>
      </c>
      <c r="BR359" t="s">
        <v>84</v>
      </c>
      <c r="BS359" s="3">
        <v>45891</v>
      </c>
      <c r="BT359" s="4">
        <v>0.47083333333333333</v>
      </c>
      <c r="BU359" t="s">
        <v>1219</v>
      </c>
      <c r="BV359" t="s">
        <v>90</v>
      </c>
      <c r="BY359">
        <v>8801.56</v>
      </c>
      <c r="BZ359" t="s">
        <v>102</v>
      </c>
      <c r="CA359" t="s">
        <v>947</v>
      </c>
      <c r="CC359" t="s">
        <v>495</v>
      </c>
      <c r="CD359">
        <v>3201</v>
      </c>
      <c r="CE359" t="s">
        <v>686</v>
      </c>
      <c r="CF359" s="3">
        <v>45892</v>
      </c>
      <c r="CI359">
        <v>1</v>
      </c>
      <c r="CJ359">
        <v>2</v>
      </c>
      <c r="CK359">
        <v>21</v>
      </c>
      <c r="CL359" t="s">
        <v>90</v>
      </c>
    </row>
    <row r="360" spans="1:90" x14ac:dyDescent="0.3">
      <c r="A360" t="s">
        <v>72</v>
      </c>
      <c r="B360" t="s">
        <v>73</v>
      </c>
      <c r="C360" t="s">
        <v>74</v>
      </c>
      <c r="E360" t="str">
        <f>"GAB2027979"</f>
        <v>GAB2027979</v>
      </c>
      <c r="F360" s="3">
        <v>45889</v>
      </c>
      <c r="G360">
        <v>202605</v>
      </c>
      <c r="H360" t="s">
        <v>75</v>
      </c>
      <c r="I360" t="s">
        <v>76</v>
      </c>
      <c r="J360" t="s">
        <v>77</v>
      </c>
      <c r="K360" t="s">
        <v>78</v>
      </c>
      <c r="L360" t="s">
        <v>415</v>
      </c>
      <c r="M360" t="s">
        <v>416</v>
      </c>
      <c r="N360" t="s">
        <v>1220</v>
      </c>
      <c r="O360" t="s">
        <v>100</v>
      </c>
      <c r="P360" t="str">
        <f>"00038660 035618               "</f>
        <v xml:space="preserve">00038660 035618               </v>
      </c>
      <c r="Q360">
        <v>0</v>
      </c>
      <c r="R360">
        <v>0</v>
      </c>
      <c r="S360">
        <v>0</v>
      </c>
      <c r="T360">
        <v>0</v>
      </c>
      <c r="U360">
        <v>0</v>
      </c>
      <c r="V360">
        <v>0</v>
      </c>
      <c r="W360">
        <v>0</v>
      </c>
      <c r="X360">
        <v>0</v>
      </c>
      <c r="Y360">
        <v>0</v>
      </c>
      <c r="Z360">
        <v>0</v>
      </c>
      <c r="AA360">
        <v>0</v>
      </c>
      <c r="AB360">
        <v>0</v>
      </c>
      <c r="AC360">
        <v>0</v>
      </c>
      <c r="AD360">
        <v>0</v>
      </c>
      <c r="AE360">
        <v>0</v>
      </c>
      <c r="AF360">
        <v>0</v>
      </c>
      <c r="AG360">
        <v>0</v>
      </c>
      <c r="AH360">
        <v>0</v>
      </c>
      <c r="AI360">
        <v>0</v>
      </c>
      <c r="AJ360">
        <v>0</v>
      </c>
      <c r="AK360">
        <v>0</v>
      </c>
      <c r="AL360">
        <v>0</v>
      </c>
      <c r="AM360">
        <v>0</v>
      </c>
      <c r="AN360">
        <v>0</v>
      </c>
      <c r="AO360">
        <v>0</v>
      </c>
      <c r="AP360">
        <v>0</v>
      </c>
      <c r="AQ360">
        <v>34.619999999999997</v>
      </c>
      <c r="AR360">
        <v>0</v>
      </c>
      <c r="AS360">
        <v>0</v>
      </c>
      <c r="AT360">
        <v>0</v>
      </c>
      <c r="AU360">
        <v>0</v>
      </c>
      <c r="AV360">
        <v>0</v>
      </c>
      <c r="AW360">
        <v>0</v>
      </c>
      <c r="AX360">
        <v>0</v>
      </c>
      <c r="AY360">
        <v>0</v>
      </c>
      <c r="AZ360">
        <v>0</v>
      </c>
      <c r="BA360">
        <v>0</v>
      </c>
      <c r="BB360">
        <v>0</v>
      </c>
      <c r="BC360">
        <v>0</v>
      </c>
      <c r="BD360">
        <v>0</v>
      </c>
      <c r="BE360">
        <v>0</v>
      </c>
      <c r="BF360">
        <v>0</v>
      </c>
      <c r="BG360">
        <v>0</v>
      </c>
      <c r="BH360">
        <v>1</v>
      </c>
      <c r="BI360">
        <v>0.3</v>
      </c>
      <c r="BJ360">
        <v>2.6</v>
      </c>
      <c r="BK360">
        <v>3</v>
      </c>
      <c r="BL360">
        <v>107.5</v>
      </c>
      <c r="BM360">
        <v>16.13</v>
      </c>
      <c r="BN360">
        <v>123.63</v>
      </c>
      <c r="BO360">
        <v>123.63</v>
      </c>
      <c r="BQ360" t="s">
        <v>1221</v>
      </c>
      <c r="BR360" t="s">
        <v>84</v>
      </c>
      <c r="BS360" s="3">
        <v>45890</v>
      </c>
      <c r="BT360" s="4">
        <v>0.37152777777777779</v>
      </c>
      <c r="BU360" t="s">
        <v>1222</v>
      </c>
      <c r="BV360" t="s">
        <v>86</v>
      </c>
      <c r="BY360">
        <v>12987</v>
      </c>
      <c r="BZ360" t="s">
        <v>102</v>
      </c>
      <c r="CA360" t="s">
        <v>1223</v>
      </c>
      <c r="CC360" t="s">
        <v>416</v>
      </c>
      <c r="CD360">
        <v>2001</v>
      </c>
      <c r="CE360" t="s">
        <v>797</v>
      </c>
      <c r="CF360" s="3">
        <v>45891</v>
      </c>
      <c r="CI360">
        <v>1</v>
      </c>
      <c r="CJ360">
        <v>1</v>
      </c>
      <c r="CK360">
        <v>21</v>
      </c>
      <c r="CL360" t="s">
        <v>90</v>
      </c>
    </row>
    <row r="361" spans="1:90" x14ac:dyDescent="0.3">
      <c r="A361" t="s">
        <v>72</v>
      </c>
      <c r="B361" t="s">
        <v>73</v>
      </c>
      <c r="C361" t="s">
        <v>74</v>
      </c>
      <c r="E361" t="str">
        <f>"GAB2027981"</f>
        <v>GAB2027981</v>
      </c>
      <c r="F361" s="3">
        <v>45889</v>
      </c>
      <c r="G361">
        <v>202605</v>
      </c>
      <c r="H361" t="s">
        <v>75</v>
      </c>
      <c r="I361" t="s">
        <v>76</v>
      </c>
      <c r="J361" t="s">
        <v>77</v>
      </c>
      <c r="K361" t="s">
        <v>78</v>
      </c>
      <c r="L361" t="s">
        <v>415</v>
      </c>
      <c r="M361" t="s">
        <v>416</v>
      </c>
      <c r="N361" t="s">
        <v>677</v>
      </c>
      <c r="O361" t="s">
        <v>100</v>
      </c>
      <c r="P361" t="str">
        <f>"00038658 035607               "</f>
        <v xml:space="preserve">00038658 035607               </v>
      </c>
      <c r="Q361">
        <v>0</v>
      </c>
      <c r="R361">
        <v>0</v>
      </c>
      <c r="S361">
        <v>0</v>
      </c>
      <c r="T361">
        <v>0</v>
      </c>
      <c r="U361">
        <v>0</v>
      </c>
      <c r="V361">
        <v>0</v>
      </c>
      <c r="W361">
        <v>0</v>
      </c>
      <c r="X361">
        <v>0</v>
      </c>
      <c r="Y361">
        <v>0</v>
      </c>
      <c r="Z361">
        <v>0</v>
      </c>
      <c r="AA361">
        <v>0</v>
      </c>
      <c r="AB361">
        <v>0</v>
      </c>
      <c r="AC361">
        <v>0</v>
      </c>
      <c r="AD361">
        <v>0</v>
      </c>
      <c r="AE361">
        <v>0</v>
      </c>
      <c r="AF361">
        <v>0</v>
      </c>
      <c r="AG361">
        <v>0</v>
      </c>
      <c r="AH361">
        <v>0</v>
      </c>
      <c r="AI361">
        <v>0</v>
      </c>
      <c r="AJ361">
        <v>0</v>
      </c>
      <c r="AK361">
        <v>0</v>
      </c>
      <c r="AL361">
        <v>0</v>
      </c>
      <c r="AM361">
        <v>0</v>
      </c>
      <c r="AN361">
        <v>0</v>
      </c>
      <c r="AO361">
        <v>0</v>
      </c>
      <c r="AP361">
        <v>0</v>
      </c>
      <c r="AQ361">
        <v>23.09</v>
      </c>
      <c r="AR361">
        <v>0</v>
      </c>
      <c r="AS361">
        <v>0</v>
      </c>
      <c r="AT361">
        <v>0</v>
      </c>
      <c r="AU361">
        <v>0</v>
      </c>
      <c r="AV361">
        <v>0</v>
      </c>
      <c r="AW361">
        <v>0</v>
      </c>
      <c r="AX361">
        <v>0</v>
      </c>
      <c r="AY361">
        <v>0</v>
      </c>
      <c r="AZ361">
        <v>0</v>
      </c>
      <c r="BA361">
        <v>0</v>
      </c>
      <c r="BB361">
        <v>0</v>
      </c>
      <c r="BC361">
        <v>0</v>
      </c>
      <c r="BD361">
        <v>0</v>
      </c>
      <c r="BE361">
        <v>0</v>
      </c>
      <c r="BF361">
        <v>0</v>
      </c>
      <c r="BG361">
        <v>0</v>
      </c>
      <c r="BH361">
        <v>1</v>
      </c>
      <c r="BI361">
        <v>0.9</v>
      </c>
      <c r="BJ361">
        <v>1.8</v>
      </c>
      <c r="BK361">
        <v>2</v>
      </c>
      <c r="BL361">
        <v>71.69</v>
      </c>
      <c r="BM361">
        <v>10.75</v>
      </c>
      <c r="BN361">
        <v>82.44</v>
      </c>
      <c r="BO361">
        <v>82.44</v>
      </c>
      <c r="BQ361" t="s">
        <v>1224</v>
      </c>
      <c r="BR361" t="s">
        <v>84</v>
      </c>
      <c r="BS361" s="3">
        <v>45890</v>
      </c>
      <c r="BT361" s="4">
        <v>0.32708333333333334</v>
      </c>
      <c r="BU361" t="s">
        <v>1225</v>
      </c>
      <c r="BV361" t="s">
        <v>86</v>
      </c>
      <c r="BY361">
        <v>8914.7999999999993</v>
      </c>
      <c r="BZ361" t="s">
        <v>102</v>
      </c>
      <c r="CA361" t="s">
        <v>1226</v>
      </c>
      <c r="CC361" t="s">
        <v>416</v>
      </c>
      <c r="CD361">
        <v>2191</v>
      </c>
      <c r="CE361" t="s">
        <v>1227</v>
      </c>
      <c r="CF361" s="3">
        <v>45890</v>
      </c>
      <c r="CI361">
        <v>1</v>
      </c>
      <c r="CJ361">
        <v>1</v>
      </c>
      <c r="CK361">
        <v>21</v>
      </c>
      <c r="CL361" t="s">
        <v>90</v>
      </c>
    </row>
    <row r="362" spans="1:90" x14ac:dyDescent="0.3">
      <c r="A362" t="s">
        <v>72</v>
      </c>
      <c r="B362" t="s">
        <v>73</v>
      </c>
      <c r="C362" t="s">
        <v>74</v>
      </c>
      <c r="E362" t="str">
        <f>"GAB2027982"</f>
        <v>GAB2027982</v>
      </c>
      <c r="F362" s="3">
        <v>45889</v>
      </c>
      <c r="G362">
        <v>202605</v>
      </c>
      <c r="H362" t="s">
        <v>75</v>
      </c>
      <c r="I362" t="s">
        <v>76</v>
      </c>
      <c r="J362" t="s">
        <v>77</v>
      </c>
      <c r="K362" t="s">
        <v>78</v>
      </c>
      <c r="L362" t="s">
        <v>184</v>
      </c>
      <c r="M362" t="s">
        <v>185</v>
      </c>
      <c r="N362" t="s">
        <v>1228</v>
      </c>
      <c r="O362" t="s">
        <v>100</v>
      </c>
      <c r="P362" t="str">
        <f>"00038657 035610               "</f>
        <v xml:space="preserve">00038657 035610               </v>
      </c>
      <c r="Q362">
        <v>0</v>
      </c>
      <c r="R362">
        <v>0</v>
      </c>
      <c r="S362">
        <v>0</v>
      </c>
      <c r="T362">
        <v>0</v>
      </c>
      <c r="U362">
        <v>0</v>
      </c>
      <c r="V362">
        <v>0</v>
      </c>
      <c r="W362">
        <v>0</v>
      </c>
      <c r="X362">
        <v>0</v>
      </c>
      <c r="Y362">
        <v>0</v>
      </c>
      <c r="Z362">
        <v>0</v>
      </c>
      <c r="AA362">
        <v>0</v>
      </c>
      <c r="AB362">
        <v>0</v>
      </c>
      <c r="AC362">
        <v>0</v>
      </c>
      <c r="AD362">
        <v>0</v>
      </c>
      <c r="AE362">
        <v>0</v>
      </c>
      <c r="AF362">
        <v>0</v>
      </c>
      <c r="AG362">
        <v>0</v>
      </c>
      <c r="AH362">
        <v>0</v>
      </c>
      <c r="AI362">
        <v>0</v>
      </c>
      <c r="AJ362">
        <v>0</v>
      </c>
      <c r="AK362">
        <v>0</v>
      </c>
      <c r="AL362">
        <v>0</v>
      </c>
      <c r="AM362">
        <v>0</v>
      </c>
      <c r="AN362">
        <v>0</v>
      </c>
      <c r="AO362">
        <v>0</v>
      </c>
      <c r="AP362">
        <v>0</v>
      </c>
      <c r="AQ362">
        <v>23.09</v>
      </c>
      <c r="AR362">
        <v>0</v>
      </c>
      <c r="AS362">
        <v>0</v>
      </c>
      <c r="AT362">
        <v>0</v>
      </c>
      <c r="AU362">
        <v>0</v>
      </c>
      <c r="AV362">
        <v>0</v>
      </c>
      <c r="AW362">
        <v>0</v>
      </c>
      <c r="AX362">
        <v>0</v>
      </c>
      <c r="AY362">
        <v>0</v>
      </c>
      <c r="AZ362">
        <v>0</v>
      </c>
      <c r="BA362">
        <v>0</v>
      </c>
      <c r="BB362">
        <v>0</v>
      </c>
      <c r="BC362">
        <v>0</v>
      </c>
      <c r="BD362">
        <v>0</v>
      </c>
      <c r="BE362">
        <v>0</v>
      </c>
      <c r="BF362">
        <v>0</v>
      </c>
      <c r="BG362">
        <v>0</v>
      </c>
      <c r="BH362">
        <v>1</v>
      </c>
      <c r="BI362">
        <v>0.1</v>
      </c>
      <c r="BJ362">
        <v>2</v>
      </c>
      <c r="BK362">
        <v>2</v>
      </c>
      <c r="BL362">
        <v>71.69</v>
      </c>
      <c r="BM362">
        <v>10.75</v>
      </c>
      <c r="BN362">
        <v>82.44</v>
      </c>
      <c r="BO362">
        <v>82.44</v>
      </c>
      <c r="BQ362" t="s">
        <v>1229</v>
      </c>
      <c r="BR362" t="s">
        <v>84</v>
      </c>
      <c r="BS362" s="3">
        <v>45890</v>
      </c>
      <c r="BT362" s="4">
        <v>0.37847222222222221</v>
      </c>
      <c r="BU362" t="s">
        <v>1230</v>
      </c>
      <c r="BV362" t="s">
        <v>86</v>
      </c>
      <c r="BY362">
        <v>9924.56</v>
      </c>
      <c r="BZ362" t="s">
        <v>102</v>
      </c>
      <c r="CA362" t="s">
        <v>189</v>
      </c>
      <c r="CC362" t="s">
        <v>185</v>
      </c>
      <c r="CD362">
        <v>1724</v>
      </c>
      <c r="CE362" t="s">
        <v>403</v>
      </c>
      <c r="CF362" s="3">
        <v>45890</v>
      </c>
      <c r="CI362">
        <v>1</v>
      </c>
      <c r="CJ362">
        <v>1</v>
      </c>
      <c r="CK362">
        <v>21</v>
      </c>
      <c r="CL362" t="s">
        <v>90</v>
      </c>
    </row>
    <row r="363" spans="1:90" x14ac:dyDescent="0.3">
      <c r="A363" t="s">
        <v>72</v>
      </c>
      <c r="B363" t="s">
        <v>73</v>
      </c>
      <c r="C363" t="s">
        <v>74</v>
      </c>
      <c r="E363" t="str">
        <f>"GAB2027983"</f>
        <v>GAB2027983</v>
      </c>
      <c r="F363" s="3">
        <v>45889</v>
      </c>
      <c r="G363">
        <v>202605</v>
      </c>
      <c r="H363" t="s">
        <v>75</v>
      </c>
      <c r="I363" t="s">
        <v>76</v>
      </c>
      <c r="J363" t="s">
        <v>77</v>
      </c>
      <c r="K363" t="s">
        <v>78</v>
      </c>
      <c r="L363" t="s">
        <v>79</v>
      </c>
      <c r="M363" t="s">
        <v>80</v>
      </c>
      <c r="N363" t="s">
        <v>1231</v>
      </c>
      <c r="O363" t="s">
        <v>100</v>
      </c>
      <c r="P363" t="str">
        <f>"00038668 035649               "</f>
        <v xml:space="preserve">00038668 035649               </v>
      </c>
      <c r="Q363">
        <v>0</v>
      </c>
      <c r="R363">
        <v>0</v>
      </c>
      <c r="S363">
        <v>0</v>
      </c>
      <c r="T363">
        <v>0</v>
      </c>
      <c r="U363">
        <v>0</v>
      </c>
      <c r="V363">
        <v>0</v>
      </c>
      <c r="W363">
        <v>0</v>
      </c>
      <c r="X363">
        <v>0</v>
      </c>
      <c r="Y363">
        <v>0</v>
      </c>
      <c r="Z363">
        <v>0</v>
      </c>
      <c r="AA363">
        <v>0</v>
      </c>
      <c r="AB363">
        <v>0</v>
      </c>
      <c r="AC363">
        <v>0</v>
      </c>
      <c r="AD363">
        <v>0</v>
      </c>
      <c r="AE363">
        <v>0</v>
      </c>
      <c r="AF363">
        <v>0</v>
      </c>
      <c r="AG363">
        <v>0</v>
      </c>
      <c r="AH363">
        <v>0</v>
      </c>
      <c r="AI363">
        <v>0</v>
      </c>
      <c r="AJ363">
        <v>0</v>
      </c>
      <c r="AK363">
        <v>0</v>
      </c>
      <c r="AL363">
        <v>0</v>
      </c>
      <c r="AM363">
        <v>0</v>
      </c>
      <c r="AN363">
        <v>0</v>
      </c>
      <c r="AO363">
        <v>0</v>
      </c>
      <c r="AP363">
        <v>0</v>
      </c>
      <c r="AQ363">
        <v>28.85</v>
      </c>
      <c r="AR363">
        <v>0</v>
      </c>
      <c r="AS363">
        <v>0</v>
      </c>
      <c r="AT363">
        <v>0</v>
      </c>
      <c r="AU363">
        <v>0</v>
      </c>
      <c r="AV363">
        <v>0</v>
      </c>
      <c r="AW363">
        <v>0</v>
      </c>
      <c r="AX363">
        <v>0</v>
      </c>
      <c r="AY363">
        <v>0</v>
      </c>
      <c r="AZ363">
        <v>0</v>
      </c>
      <c r="BA363">
        <v>0</v>
      </c>
      <c r="BB363">
        <v>0</v>
      </c>
      <c r="BC363">
        <v>0</v>
      </c>
      <c r="BD363">
        <v>0</v>
      </c>
      <c r="BE363">
        <v>0</v>
      </c>
      <c r="BF363">
        <v>0</v>
      </c>
      <c r="BG363">
        <v>0</v>
      </c>
      <c r="BH363">
        <v>1</v>
      </c>
      <c r="BI363">
        <v>0.4</v>
      </c>
      <c r="BJ363">
        <v>2.4</v>
      </c>
      <c r="BK363">
        <v>2.5</v>
      </c>
      <c r="BL363">
        <v>89.59</v>
      </c>
      <c r="BM363">
        <v>13.44</v>
      </c>
      <c r="BN363">
        <v>103.03</v>
      </c>
      <c r="BO363">
        <v>103.03</v>
      </c>
      <c r="BQ363" t="s">
        <v>1232</v>
      </c>
      <c r="BR363" t="s">
        <v>84</v>
      </c>
      <c r="BS363" s="3">
        <v>45890</v>
      </c>
      <c r="BT363" s="4">
        <v>0.39930555555555558</v>
      </c>
      <c r="BU363" t="s">
        <v>1233</v>
      </c>
      <c r="BV363" t="s">
        <v>86</v>
      </c>
      <c r="BY363">
        <v>12153.75</v>
      </c>
      <c r="BZ363" t="s">
        <v>102</v>
      </c>
      <c r="CA363" t="s">
        <v>248</v>
      </c>
      <c r="CC363" t="s">
        <v>80</v>
      </c>
      <c r="CD363" s="5" t="s">
        <v>237</v>
      </c>
      <c r="CE363" t="s">
        <v>1234</v>
      </c>
      <c r="CF363" s="3">
        <v>45890</v>
      </c>
      <c r="CI363">
        <v>1</v>
      </c>
      <c r="CJ363">
        <v>1</v>
      </c>
      <c r="CK363">
        <v>21</v>
      </c>
      <c r="CL363" t="s">
        <v>90</v>
      </c>
    </row>
    <row r="364" spans="1:90" x14ac:dyDescent="0.3">
      <c r="A364" t="s">
        <v>72</v>
      </c>
      <c r="B364" t="s">
        <v>73</v>
      </c>
      <c r="C364" t="s">
        <v>74</v>
      </c>
      <c r="E364" t="str">
        <f>"GAB2027985"</f>
        <v>GAB2027985</v>
      </c>
      <c r="F364" s="3">
        <v>45889</v>
      </c>
      <c r="G364">
        <v>202605</v>
      </c>
      <c r="H364" t="s">
        <v>75</v>
      </c>
      <c r="I364" t="s">
        <v>76</v>
      </c>
      <c r="J364" t="s">
        <v>77</v>
      </c>
      <c r="K364" t="s">
        <v>78</v>
      </c>
      <c r="L364" t="s">
        <v>159</v>
      </c>
      <c r="M364" t="s">
        <v>159</v>
      </c>
      <c r="N364" t="s">
        <v>160</v>
      </c>
      <c r="O364" t="s">
        <v>100</v>
      </c>
      <c r="P364" t="str">
        <f>"00120285 300 096737 544       "</f>
        <v xml:space="preserve">00120285 300 096737 544       </v>
      </c>
      <c r="Q364">
        <v>0</v>
      </c>
      <c r="R364">
        <v>0</v>
      </c>
      <c r="S364">
        <v>0</v>
      </c>
      <c r="T364">
        <v>0</v>
      </c>
      <c r="U364">
        <v>0</v>
      </c>
      <c r="V364">
        <v>0</v>
      </c>
      <c r="W364">
        <v>0</v>
      </c>
      <c r="X364">
        <v>0</v>
      </c>
      <c r="Y364">
        <v>0</v>
      </c>
      <c r="Z364">
        <v>0</v>
      </c>
      <c r="AA364">
        <v>0</v>
      </c>
      <c r="AB364">
        <v>0</v>
      </c>
      <c r="AC364">
        <v>0</v>
      </c>
      <c r="AD364">
        <v>0</v>
      </c>
      <c r="AE364">
        <v>0</v>
      </c>
      <c r="AF364">
        <v>0</v>
      </c>
      <c r="AG364">
        <v>0</v>
      </c>
      <c r="AH364">
        <v>0</v>
      </c>
      <c r="AI364">
        <v>0</v>
      </c>
      <c r="AJ364">
        <v>0</v>
      </c>
      <c r="AK364">
        <v>0</v>
      </c>
      <c r="AL364">
        <v>0</v>
      </c>
      <c r="AM364">
        <v>0</v>
      </c>
      <c r="AN364">
        <v>0</v>
      </c>
      <c r="AO364">
        <v>0</v>
      </c>
      <c r="AP364">
        <v>0</v>
      </c>
      <c r="AQ364">
        <v>32.47</v>
      </c>
      <c r="AR364">
        <v>0</v>
      </c>
      <c r="AS364">
        <v>0</v>
      </c>
      <c r="AT364">
        <v>0</v>
      </c>
      <c r="AU364">
        <v>0</v>
      </c>
      <c r="AV364">
        <v>0</v>
      </c>
      <c r="AW364">
        <v>0</v>
      </c>
      <c r="AX364">
        <v>0</v>
      </c>
      <c r="AY364">
        <v>0</v>
      </c>
      <c r="AZ364">
        <v>0</v>
      </c>
      <c r="BA364">
        <v>0</v>
      </c>
      <c r="BB364">
        <v>0</v>
      </c>
      <c r="BC364">
        <v>0</v>
      </c>
      <c r="BD364">
        <v>0</v>
      </c>
      <c r="BE364">
        <v>0</v>
      </c>
      <c r="BF364">
        <v>0</v>
      </c>
      <c r="BG364">
        <v>0</v>
      </c>
      <c r="BH364">
        <v>1</v>
      </c>
      <c r="BI364">
        <v>0.4</v>
      </c>
      <c r="BJ364">
        <v>1.7</v>
      </c>
      <c r="BK364">
        <v>2</v>
      </c>
      <c r="BL364">
        <v>100.82</v>
      </c>
      <c r="BM364">
        <v>15.12</v>
      </c>
      <c r="BN364">
        <v>115.94</v>
      </c>
      <c r="BO364">
        <v>115.94</v>
      </c>
      <c r="BQ364" t="s">
        <v>362</v>
      </c>
      <c r="BR364" t="s">
        <v>84</v>
      </c>
      <c r="BS364" s="3">
        <v>45891</v>
      </c>
      <c r="BT364" s="4">
        <v>0.70486111111111116</v>
      </c>
      <c r="BU364" t="s">
        <v>1235</v>
      </c>
      <c r="BV364" t="s">
        <v>90</v>
      </c>
      <c r="BW364" t="s">
        <v>589</v>
      </c>
      <c r="BX364" t="s">
        <v>350</v>
      </c>
      <c r="BY364">
        <v>8301.15</v>
      </c>
      <c r="BZ364" t="s">
        <v>102</v>
      </c>
      <c r="CC364" t="s">
        <v>159</v>
      </c>
      <c r="CD364">
        <v>7646</v>
      </c>
      <c r="CE364" t="s">
        <v>1227</v>
      </c>
      <c r="CF364" s="3">
        <v>45894</v>
      </c>
      <c r="CI364">
        <v>1</v>
      </c>
      <c r="CJ364">
        <v>2</v>
      </c>
      <c r="CK364">
        <v>24</v>
      </c>
      <c r="CL364" t="s">
        <v>90</v>
      </c>
    </row>
    <row r="365" spans="1:90" x14ac:dyDescent="0.3">
      <c r="A365" t="s">
        <v>72</v>
      </c>
      <c r="B365" t="s">
        <v>73</v>
      </c>
      <c r="C365" t="s">
        <v>74</v>
      </c>
      <c r="E365" t="str">
        <f>"GAB2027966"</f>
        <v>GAB2027966</v>
      </c>
      <c r="F365" s="3">
        <v>45889</v>
      </c>
      <c r="G365">
        <v>202605</v>
      </c>
      <c r="H365" t="s">
        <v>75</v>
      </c>
      <c r="I365" t="s">
        <v>76</v>
      </c>
      <c r="J365" t="s">
        <v>77</v>
      </c>
      <c r="K365" t="s">
        <v>78</v>
      </c>
      <c r="L365" t="s">
        <v>148</v>
      </c>
      <c r="M365" t="s">
        <v>149</v>
      </c>
      <c r="N365" t="s">
        <v>783</v>
      </c>
      <c r="O365" t="s">
        <v>82</v>
      </c>
      <c r="P365" t="str">
        <f>"00038639 035339               "</f>
        <v xml:space="preserve">00038639 035339               </v>
      </c>
      <c r="Q365">
        <v>0</v>
      </c>
      <c r="R365">
        <v>0</v>
      </c>
      <c r="S365">
        <v>0</v>
      </c>
      <c r="T365">
        <v>0</v>
      </c>
      <c r="U365">
        <v>0</v>
      </c>
      <c r="V365">
        <v>0</v>
      </c>
      <c r="W365">
        <v>0</v>
      </c>
      <c r="X365">
        <v>0</v>
      </c>
      <c r="Y365">
        <v>0</v>
      </c>
      <c r="Z365">
        <v>0</v>
      </c>
      <c r="AA365">
        <v>0</v>
      </c>
      <c r="AB365">
        <v>0</v>
      </c>
      <c r="AC365">
        <v>0</v>
      </c>
      <c r="AD365">
        <v>0</v>
      </c>
      <c r="AE365">
        <v>0</v>
      </c>
      <c r="AF365">
        <v>0</v>
      </c>
      <c r="AG365">
        <v>5.87</v>
      </c>
      <c r="AH365">
        <v>0</v>
      </c>
      <c r="AI365">
        <v>0</v>
      </c>
      <c r="AJ365">
        <v>0</v>
      </c>
      <c r="AK365">
        <v>0</v>
      </c>
      <c r="AL365">
        <v>0</v>
      </c>
      <c r="AM365">
        <v>0</v>
      </c>
      <c r="AN365">
        <v>0</v>
      </c>
      <c r="AO365">
        <v>0</v>
      </c>
      <c r="AP365">
        <v>0</v>
      </c>
      <c r="AQ365">
        <v>44.64</v>
      </c>
      <c r="AR365">
        <v>0</v>
      </c>
      <c r="AS365">
        <v>0</v>
      </c>
      <c r="AT365">
        <v>0</v>
      </c>
      <c r="AU365">
        <v>0</v>
      </c>
      <c r="AV365">
        <v>0</v>
      </c>
      <c r="AW365">
        <v>0</v>
      </c>
      <c r="AX365">
        <v>0</v>
      </c>
      <c r="AY365">
        <v>0</v>
      </c>
      <c r="AZ365">
        <v>0</v>
      </c>
      <c r="BA365">
        <v>0</v>
      </c>
      <c r="BB365">
        <v>0</v>
      </c>
      <c r="BC365">
        <v>0</v>
      </c>
      <c r="BD365">
        <v>0</v>
      </c>
      <c r="BE365">
        <v>0</v>
      </c>
      <c r="BF365">
        <v>0</v>
      </c>
      <c r="BG365">
        <v>0</v>
      </c>
      <c r="BH365">
        <v>2</v>
      </c>
      <c r="BI365">
        <v>5.8</v>
      </c>
      <c r="BJ365">
        <v>14.1</v>
      </c>
      <c r="BK365">
        <v>15</v>
      </c>
      <c r="BL365">
        <v>144.49</v>
      </c>
      <c r="BM365">
        <v>21.67</v>
      </c>
      <c r="BN365">
        <v>166.16</v>
      </c>
      <c r="BO365">
        <v>166.16</v>
      </c>
      <c r="BR365" t="s">
        <v>84</v>
      </c>
      <c r="BS365" s="3">
        <v>45891</v>
      </c>
      <c r="BT365" s="4">
        <v>0.41666666666666669</v>
      </c>
      <c r="BU365" t="s">
        <v>1111</v>
      </c>
      <c r="BV365" t="s">
        <v>86</v>
      </c>
      <c r="BY365">
        <v>70660</v>
      </c>
      <c r="CA365" t="s">
        <v>791</v>
      </c>
      <c r="CC365" t="s">
        <v>149</v>
      </c>
      <c r="CD365">
        <v>6001</v>
      </c>
      <c r="CE365" t="s">
        <v>361</v>
      </c>
      <c r="CF365" s="3">
        <v>45891</v>
      </c>
      <c r="CI365">
        <v>3</v>
      </c>
      <c r="CJ365">
        <v>2</v>
      </c>
      <c r="CK365">
        <v>41</v>
      </c>
      <c r="CL365" t="s">
        <v>90</v>
      </c>
    </row>
    <row r="366" spans="1:90" x14ac:dyDescent="0.3">
      <c r="A366" t="s">
        <v>72</v>
      </c>
      <c r="B366" t="s">
        <v>73</v>
      </c>
      <c r="C366" t="s">
        <v>74</v>
      </c>
      <c r="E366" t="str">
        <f>"GAB2027967"</f>
        <v>GAB2027967</v>
      </c>
      <c r="F366" s="3">
        <v>45889</v>
      </c>
      <c r="G366">
        <v>202605</v>
      </c>
      <c r="H366" t="s">
        <v>75</v>
      </c>
      <c r="I366" t="s">
        <v>76</v>
      </c>
      <c r="J366" t="s">
        <v>77</v>
      </c>
      <c r="K366" t="s">
        <v>78</v>
      </c>
      <c r="L366" t="s">
        <v>177</v>
      </c>
      <c r="M366" t="s">
        <v>178</v>
      </c>
      <c r="N366" t="s">
        <v>179</v>
      </c>
      <c r="O366" t="s">
        <v>82</v>
      </c>
      <c r="P366" t="str">
        <f>"00038638 035377               "</f>
        <v xml:space="preserve">00038638 035377               </v>
      </c>
      <c r="Q366">
        <v>0</v>
      </c>
      <c r="R366">
        <v>0</v>
      </c>
      <c r="S366">
        <v>0</v>
      </c>
      <c r="T366">
        <v>0</v>
      </c>
      <c r="U366">
        <v>0</v>
      </c>
      <c r="V366">
        <v>0</v>
      </c>
      <c r="W366">
        <v>0</v>
      </c>
      <c r="X366">
        <v>0</v>
      </c>
      <c r="Y366">
        <v>0</v>
      </c>
      <c r="Z366">
        <v>0</v>
      </c>
      <c r="AA366">
        <v>0</v>
      </c>
      <c r="AB366">
        <v>0</v>
      </c>
      <c r="AC366">
        <v>0</v>
      </c>
      <c r="AD366">
        <v>0</v>
      </c>
      <c r="AE366">
        <v>0</v>
      </c>
      <c r="AF366">
        <v>0</v>
      </c>
      <c r="AG366">
        <v>5.87</v>
      </c>
      <c r="AH366">
        <v>0</v>
      </c>
      <c r="AI366">
        <v>0</v>
      </c>
      <c r="AJ366">
        <v>0</v>
      </c>
      <c r="AK366">
        <v>0</v>
      </c>
      <c r="AL366">
        <v>0</v>
      </c>
      <c r="AM366">
        <v>0</v>
      </c>
      <c r="AN366">
        <v>0</v>
      </c>
      <c r="AO366">
        <v>0</v>
      </c>
      <c r="AP366">
        <v>0</v>
      </c>
      <c r="AQ366">
        <v>62.96</v>
      </c>
      <c r="AR366">
        <v>0</v>
      </c>
      <c r="AS366">
        <v>0</v>
      </c>
      <c r="AT366">
        <v>0</v>
      </c>
      <c r="AU366">
        <v>0</v>
      </c>
      <c r="AV366">
        <v>0</v>
      </c>
      <c r="AW366">
        <v>0</v>
      </c>
      <c r="AX366">
        <v>0</v>
      </c>
      <c r="AY366">
        <v>0</v>
      </c>
      <c r="AZ366">
        <v>0</v>
      </c>
      <c r="BA366">
        <v>0</v>
      </c>
      <c r="BB366">
        <v>0</v>
      </c>
      <c r="BC366">
        <v>0</v>
      </c>
      <c r="BD366">
        <v>0</v>
      </c>
      <c r="BE366">
        <v>0</v>
      </c>
      <c r="BF366">
        <v>0</v>
      </c>
      <c r="BG366">
        <v>0</v>
      </c>
      <c r="BH366">
        <v>1</v>
      </c>
      <c r="BI366">
        <v>4.9000000000000004</v>
      </c>
      <c r="BJ366">
        <v>12.2</v>
      </c>
      <c r="BK366">
        <v>13</v>
      </c>
      <c r="BL366">
        <v>201.38</v>
      </c>
      <c r="BM366">
        <v>30.21</v>
      </c>
      <c r="BN366">
        <v>231.59</v>
      </c>
      <c r="BO366">
        <v>231.59</v>
      </c>
      <c r="BR366" t="s">
        <v>84</v>
      </c>
      <c r="BS366" s="3">
        <v>45891</v>
      </c>
      <c r="BT366" s="4">
        <v>0.59027777777777779</v>
      </c>
      <c r="BU366" t="s">
        <v>1236</v>
      </c>
      <c r="BV366" t="s">
        <v>86</v>
      </c>
      <c r="BY366">
        <v>61051.76</v>
      </c>
      <c r="CC366" t="s">
        <v>178</v>
      </c>
      <c r="CD366">
        <v>1050</v>
      </c>
      <c r="CE366" t="s">
        <v>361</v>
      </c>
      <c r="CF366" s="3">
        <v>45894</v>
      </c>
      <c r="CI366">
        <v>2</v>
      </c>
      <c r="CJ366">
        <v>2</v>
      </c>
      <c r="CK366">
        <v>43</v>
      </c>
      <c r="CL366" t="s">
        <v>90</v>
      </c>
    </row>
    <row r="367" spans="1:90" x14ac:dyDescent="0.3">
      <c r="A367" t="s">
        <v>72</v>
      </c>
      <c r="B367" t="s">
        <v>73</v>
      </c>
      <c r="C367" t="s">
        <v>74</v>
      </c>
      <c r="E367" t="str">
        <f>"GAB2027968"</f>
        <v>GAB2027968</v>
      </c>
      <c r="F367" s="3">
        <v>45889</v>
      </c>
      <c r="G367">
        <v>202605</v>
      </c>
      <c r="H367" t="s">
        <v>75</v>
      </c>
      <c r="I367" t="s">
        <v>76</v>
      </c>
      <c r="J367" t="s">
        <v>77</v>
      </c>
      <c r="K367" t="s">
        <v>78</v>
      </c>
      <c r="L367" t="s">
        <v>1208</v>
      </c>
      <c r="M367" t="s">
        <v>1209</v>
      </c>
      <c r="N367" t="s">
        <v>1237</v>
      </c>
      <c r="O367" t="s">
        <v>82</v>
      </c>
      <c r="P367" t="str">
        <f>"00038637 035613               "</f>
        <v xml:space="preserve">00038637 035613               </v>
      </c>
      <c r="Q367">
        <v>0</v>
      </c>
      <c r="R367">
        <v>0</v>
      </c>
      <c r="S367">
        <v>0</v>
      </c>
      <c r="T367">
        <v>0</v>
      </c>
      <c r="U367">
        <v>0</v>
      </c>
      <c r="V367">
        <v>0</v>
      </c>
      <c r="W367">
        <v>0</v>
      </c>
      <c r="X367">
        <v>0</v>
      </c>
      <c r="Y367">
        <v>0</v>
      </c>
      <c r="Z367">
        <v>0</v>
      </c>
      <c r="AA367">
        <v>0</v>
      </c>
      <c r="AB367">
        <v>0</v>
      </c>
      <c r="AC367">
        <v>0</v>
      </c>
      <c r="AD367">
        <v>0</v>
      </c>
      <c r="AE367">
        <v>0</v>
      </c>
      <c r="AF367">
        <v>0</v>
      </c>
      <c r="AG367">
        <v>5.87</v>
      </c>
      <c r="AH367">
        <v>0</v>
      </c>
      <c r="AI367">
        <v>0</v>
      </c>
      <c r="AJ367">
        <v>0</v>
      </c>
      <c r="AK367">
        <v>0</v>
      </c>
      <c r="AL367">
        <v>0</v>
      </c>
      <c r="AM367">
        <v>0</v>
      </c>
      <c r="AN367">
        <v>0</v>
      </c>
      <c r="AO367">
        <v>0</v>
      </c>
      <c r="AP367">
        <v>0</v>
      </c>
      <c r="AQ367">
        <v>62.96</v>
      </c>
      <c r="AR367">
        <v>0</v>
      </c>
      <c r="AS367">
        <v>0</v>
      </c>
      <c r="AT367">
        <v>0</v>
      </c>
      <c r="AU367">
        <v>0</v>
      </c>
      <c r="AV367">
        <v>0</v>
      </c>
      <c r="AW367">
        <v>0</v>
      </c>
      <c r="AX367">
        <v>0</v>
      </c>
      <c r="AY367">
        <v>0</v>
      </c>
      <c r="AZ367">
        <v>0</v>
      </c>
      <c r="BA367">
        <v>0</v>
      </c>
      <c r="BB367">
        <v>0</v>
      </c>
      <c r="BC367">
        <v>0</v>
      </c>
      <c r="BD367">
        <v>0</v>
      </c>
      <c r="BE367">
        <v>0</v>
      </c>
      <c r="BF367">
        <v>0</v>
      </c>
      <c r="BG367">
        <v>0</v>
      </c>
      <c r="BH367">
        <v>1</v>
      </c>
      <c r="BI367">
        <v>5.5</v>
      </c>
      <c r="BJ367">
        <v>12.4</v>
      </c>
      <c r="BK367">
        <v>13</v>
      </c>
      <c r="BL367">
        <v>201.38</v>
      </c>
      <c r="BM367">
        <v>30.21</v>
      </c>
      <c r="BN367">
        <v>231.59</v>
      </c>
      <c r="BO367">
        <v>231.59</v>
      </c>
      <c r="BR367" t="s">
        <v>84</v>
      </c>
      <c r="BS367" s="3">
        <v>45894</v>
      </c>
      <c r="BT367" s="4">
        <v>0.77777777777777779</v>
      </c>
      <c r="BU367" t="s">
        <v>1238</v>
      </c>
      <c r="BV367" t="s">
        <v>86</v>
      </c>
      <c r="BY367">
        <v>61975.199999999997</v>
      </c>
      <c r="CA367" t="s">
        <v>1214</v>
      </c>
      <c r="CC367" t="s">
        <v>1209</v>
      </c>
      <c r="CD367">
        <v>3268</v>
      </c>
      <c r="CE367" t="s">
        <v>361</v>
      </c>
      <c r="CF367" s="3">
        <v>45895</v>
      </c>
      <c r="CI367">
        <v>3</v>
      </c>
      <c r="CJ367">
        <v>3</v>
      </c>
      <c r="CK367">
        <v>43</v>
      </c>
      <c r="CL367" t="s">
        <v>90</v>
      </c>
    </row>
    <row r="368" spans="1:90" x14ac:dyDescent="0.3">
      <c r="A368" t="s">
        <v>72</v>
      </c>
      <c r="B368" t="s">
        <v>73</v>
      </c>
      <c r="C368" t="s">
        <v>74</v>
      </c>
      <c r="E368" t="str">
        <f>"GAB2027970"</f>
        <v>GAB2027970</v>
      </c>
      <c r="F368" s="3">
        <v>45889</v>
      </c>
      <c r="G368">
        <v>202605</v>
      </c>
      <c r="H368" t="s">
        <v>75</v>
      </c>
      <c r="I368" t="s">
        <v>76</v>
      </c>
      <c r="J368" t="s">
        <v>77</v>
      </c>
      <c r="K368" t="s">
        <v>78</v>
      </c>
      <c r="L368" t="s">
        <v>444</v>
      </c>
      <c r="M368" t="s">
        <v>445</v>
      </c>
      <c r="N368" t="s">
        <v>734</v>
      </c>
      <c r="O368" t="s">
        <v>82</v>
      </c>
      <c r="P368" t="str">
        <f>"00120277 096722               "</f>
        <v xml:space="preserve">00120277 096722               </v>
      </c>
      <c r="Q368">
        <v>0</v>
      </c>
      <c r="R368">
        <v>0</v>
      </c>
      <c r="S368">
        <v>0</v>
      </c>
      <c r="T368">
        <v>0</v>
      </c>
      <c r="U368">
        <v>0</v>
      </c>
      <c r="V368">
        <v>0</v>
      </c>
      <c r="W368">
        <v>0</v>
      </c>
      <c r="X368">
        <v>0</v>
      </c>
      <c r="Y368">
        <v>0</v>
      </c>
      <c r="Z368">
        <v>0</v>
      </c>
      <c r="AA368">
        <v>0</v>
      </c>
      <c r="AB368">
        <v>0</v>
      </c>
      <c r="AC368">
        <v>0</v>
      </c>
      <c r="AD368">
        <v>0</v>
      </c>
      <c r="AE368">
        <v>0</v>
      </c>
      <c r="AF368">
        <v>0</v>
      </c>
      <c r="AG368">
        <v>5.87</v>
      </c>
      <c r="AH368">
        <v>0</v>
      </c>
      <c r="AI368">
        <v>0</v>
      </c>
      <c r="AJ368">
        <v>0</v>
      </c>
      <c r="AK368">
        <v>0</v>
      </c>
      <c r="AL368">
        <v>0</v>
      </c>
      <c r="AM368">
        <v>0</v>
      </c>
      <c r="AN368">
        <v>0</v>
      </c>
      <c r="AO368">
        <v>0</v>
      </c>
      <c r="AP368">
        <v>0</v>
      </c>
      <c r="AQ368">
        <v>143.36000000000001</v>
      </c>
      <c r="AR368">
        <v>0</v>
      </c>
      <c r="AS368">
        <v>0</v>
      </c>
      <c r="AT368">
        <v>0</v>
      </c>
      <c r="AU368">
        <v>0</v>
      </c>
      <c r="AV368">
        <v>0</v>
      </c>
      <c r="AW368">
        <v>0</v>
      </c>
      <c r="AX368">
        <v>0</v>
      </c>
      <c r="AY368">
        <v>0</v>
      </c>
      <c r="AZ368">
        <v>0</v>
      </c>
      <c r="BA368">
        <v>0</v>
      </c>
      <c r="BB368">
        <v>0</v>
      </c>
      <c r="BC368">
        <v>0</v>
      </c>
      <c r="BD368">
        <v>0</v>
      </c>
      <c r="BE368">
        <v>0</v>
      </c>
      <c r="BF368">
        <v>0</v>
      </c>
      <c r="BG368">
        <v>0</v>
      </c>
      <c r="BH368">
        <v>4</v>
      </c>
      <c r="BI368">
        <v>12</v>
      </c>
      <c r="BJ368">
        <v>40</v>
      </c>
      <c r="BK368">
        <v>40</v>
      </c>
      <c r="BL368">
        <v>451.03</v>
      </c>
      <c r="BM368">
        <v>67.650000000000006</v>
      </c>
      <c r="BN368">
        <v>518.67999999999995</v>
      </c>
      <c r="BO368">
        <v>518.67999999999995</v>
      </c>
      <c r="BQ368" t="s">
        <v>1239</v>
      </c>
      <c r="BR368" t="s">
        <v>84</v>
      </c>
      <c r="BS368" s="3">
        <v>45891</v>
      </c>
      <c r="BT368" s="4">
        <v>0.35833333333333334</v>
      </c>
      <c r="BU368" t="s">
        <v>1240</v>
      </c>
      <c r="BV368" t="s">
        <v>86</v>
      </c>
      <c r="BY368">
        <v>200007.95</v>
      </c>
      <c r="CA368" t="s">
        <v>1241</v>
      </c>
      <c r="CC368" t="s">
        <v>445</v>
      </c>
      <c r="CD368" s="5" t="s">
        <v>450</v>
      </c>
      <c r="CE368" t="s">
        <v>782</v>
      </c>
      <c r="CF368" s="3">
        <v>45894</v>
      </c>
      <c r="CI368">
        <v>3</v>
      </c>
      <c r="CJ368">
        <v>2</v>
      </c>
      <c r="CK368">
        <v>43</v>
      </c>
      <c r="CL368" t="s">
        <v>90</v>
      </c>
    </row>
    <row r="369" spans="1:90" x14ac:dyDescent="0.3">
      <c r="A369" t="s">
        <v>72</v>
      </c>
      <c r="B369" t="s">
        <v>73</v>
      </c>
      <c r="C369" t="s">
        <v>74</v>
      </c>
      <c r="E369" t="str">
        <f>"GAB2027974"</f>
        <v>GAB2027974</v>
      </c>
      <c r="F369" s="3">
        <v>45889</v>
      </c>
      <c r="G369">
        <v>202605</v>
      </c>
      <c r="H369" t="s">
        <v>75</v>
      </c>
      <c r="I369" t="s">
        <v>76</v>
      </c>
      <c r="J369" t="s">
        <v>77</v>
      </c>
      <c r="K369" t="s">
        <v>78</v>
      </c>
      <c r="L369" t="s">
        <v>1004</v>
      </c>
      <c r="M369" t="s">
        <v>1005</v>
      </c>
      <c r="N369" t="s">
        <v>1242</v>
      </c>
      <c r="O369" t="s">
        <v>82</v>
      </c>
      <c r="P369" t="str">
        <f>"00038653 035630               "</f>
        <v xml:space="preserve">00038653 035630               </v>
      </c>
      <c r="Q369">
        <v>0</v>
      </c>
      <c r="R369">
        <v>0</v>
      </c>
      <c r="S369">
        <v>0</v>
      </c>
      <c r="T369">
        <v>0</v>
      </c>
      <c r="U369">
        <v>0</v>
      </c>
      <c r="V369">
        <v>0</v>
      </c>
      <c r="W369">
        <v>0</v>
      </c>
      <c r="X369">
        <v>0</v>
      </c>
      <c r="Y369">
        <v>0</v>
      </c>
      <c r="Z369">
        <v>0</v>
      </c>
      <c r="AA369">
        <v>0</v>
      </c>
      <c r="AB369">
        <v>0</v>
      </c>
      <c r="AC369">
        <v>0</v>
      </c>
      <c r="AD369">
        <v>0</v>
      </c>
      <c r="AE369">
        <v>0</v>
      </c>
      <c r="AF369">
        <v>0</v>
      </c>
      <c r="AG369">
        <v>5.87</v>
      </c>
      <c r="AH369">
        <v>0</v>
      </c>
      <c r="AI369">
        <v>0</v>
      </c>
      <c r="AJ369">
        <v>0</v>
      </c>
      <c r="AK369">
        <v>0</v>
      </c>
      <c r="AL369">
        <v>0</v>
      </c>
      <c r="AM369">
        <v>0</v>
      </c>
      <c r="AN369">
        <v>0</v>
      </c>
      <c r="AO369">
        <v>0</v>
      </c>
      <c r="AP369">
        <v>0</v>
      </c>
      <c r="AQ369">
        <v>62.96</v>
      </c>
      <c r="AR369">
        <v>0</v>
      </c>
      <c r="AS369">
        <v>0</v>
      </c>
      <c r="AT369">
        <v>0</v>
      </c>
      <c r="AU369">
        <v>0</v>
      </c>
      <c r="AV369">
        <v>0</v>
      </c>
      <c r="AW369">
        <v>0</v>
      </c>
      <c r="AX369">
        <v>0</v>
      </c>
      <c r="AY369">
        <v>0</v>
      </c>
      <c r="AZ369">
        <v>0</v>
      </c>
      <c r="BA369">
        <v>0</v>
      </c>
      <c r="BB369">
        <v>0</v>
      </c>
      <c r="BC369">
        <v>0</v>
      </c>
      <c r="BD369">
        <v>0</v>
      </c>
      <c r="BE369">
        <v>0</v>
      </c>
      <c r="BF369">
        <v>0</v>
      </c>
      <c r="BG369">
        <v>0</v>
      </c>
      <c r="BH369">
        <v>1</v>
      </c>
      <c r="BI369">
        <v>1.6</v>
      </c>
      <c r="BJ369">
        <v>6.3</v>
      </c>
      <c r="BK369">
        <v>7</v>
      </c>
      <c r="BL369">
        <v>201.38</v>
      </c>
      <c r="BM369">
        <v>30.21</v>
      </c>
      <c r="BN369">
        <v>231.59</v>
      </c>
      <c r="BO369">
        <v>231.59</v>
      </c>
      <c r="BR369" t="s">
        <v>84</v>
      </c>
      <c r="BS369" s="3">
        <v>45891</v>
      </c>
      <c r="BT369" s="4">
        <v>0.61736111111111114</v>
      </c>
      <c r="BU369" t="s">
        <v>1243</v>
      </c>
      <c r="BV369" t="s">
        <v>86</v>
      </c>
      <c r="BY369">
        <v>31406.1</v>
      </c>
      <c r="CA369" t="s">
        <v>1244</v>
      </c>
      <c r="CC369" t="s">
        <v>1005</v>
      </c>
      <c r="CD369">
        <v>2571</v>
      </c>
      <c r="CE369" t="s">
        <v>171</v>
      </c>
      <c r="CF369" s="3">
        <v>45894</v>
      </c>
      <c r="CI369">
        <v>2</v>
      </c>
      <c r="CJ369">
        <v>2</v>
      </c>
      <c r="CK369">
        <v>43</v>
      </c>
      <c r="CL369" t="s">
        <v>90</v>
      </c>
    </row>
    <row r="370" spans="1:90" x14ac:dyDescent="0.3">
      <c r="A370" t="s">
        <v>72</v>
      </c>
      <c r="B370" t="s">
        <v>73</v>
      </c>
      <c r="C370" t="s">
        <v>74</v>
      </c>
      <c r="E370" t="str">
        <f>"GAB2027986"</f>
        <v>GAB2027986</v>
      </c>
      <c r="F370" s="3">
        <v>45889</v>
      </c>
      <c r="G370">
        <v>202605</v>
      </c>
      <c r="H370" t="s">
        <v>75</v>
      </c>
      <c r="I370" t="s">
        <v>76</v>
      </c>
      <c r="J370" t="s">
        <v>77</v>
      </c>
      <c r="K370" t="s">
        <v>78</v>
      </c>
      <c r="L370" t="s">
        <v>1053</v>
      </c>
      <c r="M370" t="s">
        <v>1054</v>
      </c>
      <c r="N370" t="s">
        <v>1245</v>
      </c>
      <c r="O370" t="s">
        <v>82</v>
      </c>
      <c r="P370" t="str">
        <f>"000413 00408                  "</f>
        <v xml:space="preserve">000413 00408                  </v>
      </c>
      <c r="Q370">
        <v>0</v>
      </c>
      <c r="R370">
        <v>0</v>
      </c>
      <c r="S370">
        <v>0</v>
      </c>
      <c r="T370">
        <v>0</v>
      </c>
      <c r="U370">
        <v>0</v>
      </c>
      <c r="V370">
        <v>0</v>
      </c>
      <c r="W370">
        <v>0</v>
      </c>
      <c r="X370">
        <v>0</v>
      </c>
      <c r="Y370">
        <v>0</v>
      </c>
      <c r="Z370">
        <v>0</v>
      </c>
      <c r="AA370">
        <v>0</v>
      </c>
      <c r="AB370">
        <v>0</v>
      </c>
      <c r="AC370">
        <v>0</v>
      </c>
      <c r="AD370">
        <v>0</v>
      </c>
      <c r="AE370">
        <v>0</v>
      </c>
      <c r="AF370">
        <v>0</v>
      </c>
      <c r="AG370">
        <v>5.87</v>
      </c>
      <c r="AH370">
        <v>0</v>
      </c>
      <c r="AI370">
        <v>0</v>
      </c>
      <c r="AJ370">
        <v>0</v>
      </c>
      <c r="AK370">
        <v>0</v>
      </c>
      <c r="AL370">
        <v>0</v>
      </c>
      <c r="AM370">
        <v>0</v>
      </c>
      <c r="AN370">
        <v>0</v>
      </c>
      <c r="AO370">
        <v>0</v>
      </c>
      <c r="AP370">
        <v>0</v>
      </c>
      <c r="AQ370">
        <v>62.96</v>
      </c>
      <c r="AR370">
        <v>0</v>
      </c>
      <c r="AS370">
        <v>0</v>
      </c>
      <c r="AT370">
        <v>0</v>
      </c>
      <c r="AU370">
        <v>0</v>
      </c>
      <c r="AV370">
        <v>0</v>
      </c>
      <c r="AW370">
        <v>0</v>
      </c>
      <c r="AX370">
        <v>0</v>
      </c>
      <c r="AY370">
        <v>0</v>
      </c>
      <c r="AZ370">
        <v>0</v>
      </c>
      <c r="BA370">
        <v>0</v>
      </c>
      <c r="BB370">
        <v>0</v>
      </c>
      <c r="BC370">
        <v>0</v>
      </c>
      <c r="BD370">
        <v>0</v>
      </c>
      <c r="BE370">
        <v>0</v>
      </c>
      <c r="BF370">
        <v>0</v>
      </c>
      <c r="BG370">
        <v>0</v>
      </c>
      <c r="BH370">
        <v>1</v>
      </c>
      <c r="BI370">
        <v>2.7</v>
      </c>
      <c r="BJ370">
        <v>7.6</v>
      </c>
      <c r="BK370">
        <v>8</v>
      </c>
      <c r="BL370">
        <v>201.38</v>
      </c>
      <c r="BM370">
        <v>30.21</v>
      </c>
      <c r="BN370">
        <v>231.59</v>
      </c>
      <c r="BO370">
        <v>231.59</v>
      </c>
      <c r="BQ370" t="s">
        <v>1246</v>
      </c>
      <c r="BR370" t="s">
        <v>84</v>
      </c>
      <c r="BS370" s="3">
        <v>45894</v>
      </c>
      <c r="BT370" s="4">
        <v>0.44861111111111113</v>
      </c>
      <c r="BU370" t="s">
        <v>1247</v>
      </c>
      <c r="BV370" t="s">
        <v>86</v>
      </c>
      <c r="BY370">
        <v>38227.800000000003</v>
      </c>
      <c r="CA370" t="s">
        <v>1248</v>
      </c>
      <c r="CC370" t="s">
        <v>1054</v>
      </c>
      <c r="CD370">
        <v>3880</v>
      </c>
      <c r="CE370" t="s">
        <v>775</v>
      </c>
      <c r="CF370" s="3">
        <v>45894</v>
      </c>
      <c r="CI370">
        <v>5</v>
      </c>
      <c r="CJ370">
        <v>3</v>
      </c>
      <c r="CK370">
        <v>43</v>
      </c>
      <c r="CL370" t="s">
        <v>90</v>
      </c>
    </row>
    <row r="371" spans="1:90" x14ac:dyDescent="0.3">
      <c r="A371" t="s">
        <v>72</v>
      </c>
      <c r="B371" t="s">
        <v>73</v>
      </c>
      <c r="C371" t="s">
        <v>74</v>
      </c>
      <c r="E371" t="str">
        <f>"GAB2027987"</f>
        <v>GAB2027987</v>
      </c>
      <c r="F371" s="3">
        <v>45889</v>
      </c>
      <c r="G371">
        <v>202605</v>
      </c>
      <c r="H371" t="s">
        <v>75</v>
      </c>
      <c r="I371" t="s">
        <v>76</v>
      </c>
      <c r="J371" t="s">
        <v>77</v>
      </c>
      <c r="K371" t="s">
        <v>78</v>
      </c>
      <c r="L371" t="s">
        <v>148</v>
      </c>
      <c r="M371" t="s">
        <v>149</v>
      </c>
      <c r="N371" t="s">
        <v>1249</v>
      </c>
      <c r="O371" t="s">
        <v>82</v>
      </c>
      <c r="P371" t="str">
        <f>"00120306 096696               "</f>
        <v xml:space="preserve">00120306 096696               </v>
      </c>
      <c r="Q371">
        <v>0</v>
      </c>
      <c r="R371">
        <v>0</v>
      </c>
      <c r="S371">
        <v>0</v>
      </c>
      <c r="T371">
        <v>0</v>
      </c>
      <c r="U371">
        <v>0</v>
      </c>
      <c r="V371">
        <v>0</v>
      </c>
      <c r="W371">
        <v>0</v>
      </c>
      <c r="X371">
        <v>0</v>
      </c>
      <c r="Y371">
        <v>0</v>
      </c>
      <c r="Z371">
        <v>0</v>
      </c>
      <c r="AA371">
        <v>0</v>
      </c>
      <c r="AB371">
        <v>0</v>
      </c>
      <c r="AC371">
        <v>0</v>
      </c>
      <c r="AD371">
        <v>0</v>
      </c>
      <c r="AE371">
        <v>0</v>
      </c>
      <c r="AF371">
        <v>0</v>
      </c>
      <c r="AG371">
        <v>5.87</v>
      </c>
      <c r="AH371">
        <v>0</v>
      </c>
      <c r="AI371">
        <v>0</v>
      </c>
      <c r="AJ371">
        <v>0</v>
      </c>
      <c r="AK371">
        <v>0</v>
      </c>
      <c r="AL371">
        <v>0</v>
      </c>
      <c r="AM371">
        <v>0</v>
      </c>
      <c r="AN371">
        <v>0</v>
      </c>
      <c r="AO371">
        <v>0</v>
      </c>
      <c r="AP371">
        <v>0</v>
      </c>
      <c r="AQ371">
        <v>44.64</v>
      </c>
      <c r="AR371">
        <v>0</v>
      </c>
      <c r="AS371">
        <v>0</v>
      </c>
      <c r="AT371">
        <v>0</v>
      </c>
      <c r="AU371">
        <v>0</v>
      </c>
      <c r="AV371">
        <v>0</v>
      </c>
      <c r="AW371">
        <v>0</v>
      </c>
      <c r="AX371">
        <v>0</v>
      </c>
      <c r="AY371">
        <v>0</v>
      </c>
      <c r="AZ371">
        <v>0</v>
      </c>
      <c r="BA371">
        <v>0</v>
      </c>
      <c r="BB371">
        <v>0</v>
      </c>
      <c r="BC371">
        <v>0</v>
      </c>
      <c r="BD371">
        <v>0</v>
      </c>
      <c r="BE371">
        <v>0</v>
      </c>
      <c r="BF371">
        <v>0</v>
      </c>
      <c r="BG371">
        <v>0</v>
      </c>
      <c r="BH371">
        <v>1</v>
      </c>
      <c r="BI371">
        <v>2.2000000000000002</v>
      </c>
      <c r="BJ371">
        <v>8.5</v>
      </c>
      <c r="BK371">
        <v>9</v>
      </c>
      <c r="BL371">
        <v>144.49</v>
      </c>
      <c r="BM371">
        <v>21.67</v>
      </c>
      <c r="BN371">
        <v>166.16</v>
      </c>
      <c r="BO371">
        <v>166.16</v>
      </c>
      <c r="BQ371" t="s">
        <v>1250</v>
      </c>
      <c r="BR371" t="s">
        <v>84</v>
      </c>
      <c r="BS371" s="3">
        <v>45891</v>
      </c>
      <c r="BT371" s="4">
        <v>0.43402777777777779</v>
      </c>
      <c r="BU371" t="s">
        <v>1251</v>
      </c>
      <c r="BV371" t="s">
        <v>86</v>
      </c>
      <c r="BY371">
        <v>42321.49</v>
      </c>
      <c r="CA371" t="s">
        <v>1252</v>
      </c>
      <c r="CC371" t="s">
        <v>149</v>
      </c>
      <c r="CD371">
        <v>6001</v>
      </c>
      <c r="CE371" t="s">
        <v>775</v>
      </c>
      <c r="CF371" s="3">
        <v>45891</v>
      </c>
      <c r="CI371">
        <v>3</v>
      </c>
      <c r="CJ371">
        <v>2</v>
      </c>
      <c r="CK371">
        <v>41</v>
      </c>
      <c r="CL371" t="s">
        <v>90</v>
      </c>
    </row>
    <row r="372" spans="1:90" x14ac:dyDescent="0.3">
      <c r="A372" t="s">
        <v>72</v>
      </c>
      <c r="B372" t="s">
        <v>73</v>
      </c>
      <c r="C372" t="s">
        <v>74</v>
      </c>
      <c r="E372" t="str">
        <f>"009945156783"</f>
        <v>009945156783</v>
      </c>
      <c r="F372" s="3">
        <v>45889</v>
      </c>
      <c r="G372">
        <v>202605</v>
      </c>
      <c r="H372" t="s">
        <v>79</v>
      </c>
      <c r="I372" t="s">
        <v>80</v>
      </c>
      <c r="J372" t="s">
        <v>257</v>
      </c>
      <c r="K372" t="s">
        <v>78</v>
      </c>
      <c r="L372" t="s">
        <v>91</v>
      </c>
      <c r="M372" t="s">
        <v>92</v>
      </c>
      <c r="N372" t="s">
        <v>607</v>
      </c>
      <c r="O372" t="s">
        <v>82</v>
      </c>
      <c r="P372" t="str">
        <f>"NO REF                        "</f>
        <v xml:space="preserve">NO REF                        </v>
      </c>
      <c r="Q372">
        <v>0</v>
      </c>
      <c r="R372">
        <v>0</v>
      </c>
      <c r="S372">
        <v>0</v>
      </c>
      <c r="T372">
        <v>0</v>
      </c>
      <c r="U372">
        <v>0</v>
      </c>
      <c r="V372">
        <v>0</v>
      </c>
      <c r="W372">
        <v>0</v>
      </c>
      <c r="X372">
        <v>0</v>
      </c>
      <c r="Y372">
        <v>0</v>
      </c>
      <c r="Z372">
        <v>0</v>
      </c>
      <c r="AA372">
        <v>0</v>
      </c>
      <c r="AB372">
        <v>0</v>
      </c>
      <c r="AC372">
        <v>0</v>
      </c>
      <c r="AD372">
        <v>0</v>
      </c>
      <c r="AE372">
        <v>0</v>
      </c>
      <c r="AF372">
        <v>0</v>
      </c>
      <c r="AG372">
        <v>5.87</v>
      </c>
      <c r="AH372">
        <v>0</v>
      </c>
      <c r="AI372">
        <v>0</v>
      </c>
      <c r="AJ372">
        <v>0</v>
      </c>
      <c r="AK372">
        <v>0</v>
      </c>
      <c r="AL372">
        <v>0</v>
      </c>
      <c r="AM372">
        <v>0</v>
      </c>
      <c r="AN372">
        <v>0</v>
      </c>
      <c r="AO372">
        <v>0</v>
      </c>
      <c r="AP372">
        <v>0</v>
      </c>
      <c r="AQ372">
        <v>105.46</v>
      </c>
      <c r="AR372">
        <v>0</v>
      </c>
      <c r="AS372">
        <v>0</v>
      </c>
      <c r="AT372">
        <v>0</v>
      </c>
      <c r="AU372">
        <v>0</v>
      </c>
      <c r="AV372">
        <v>0</v>
      </c>
      <c r="AW372">
        <v>0</v>
      </c>
      <c r="AX372">
        <v>0</v>
      </c>
      <c r="AY372">
        <v>0</v>
      </c>
      <c r="AZ372">
        <v>0</v>
      </c>
      <c r="BA372">
        <v>0</v>
      </c>
      <c r="BB372">
        <v>0</v>
      </c>
      <c r="BC372">
        <v>0</v>
      </c>
      <c r="BD372">
        <v>0</v>
      </c>
      <c r="BE372">
        <v>0</v>
      </c>
      <c r="BF372">
        <v>0</v>
      </c>
      <c r="BG372">
        <v>0</v>
      </c>
      <c r="BH372">
        <v>4</v>
      </c>
      <c r="BI372">
        <v>34</v>
      </c>
      <c r="BJ372">
        <v>47.5</v>
      </c>
      <c r="BK372">
        <v>48</v>
      </c>
      <c r="BL372">
        <v>333.35</v>
      </c>
      <c r="BM372">
        <v>50</v>
      </c>
      <c r="BN372">
        <v>383.35</v>
      </c>
      <c r="BO372">
        <v>383.35</v>
      </c>
      <c r="BQ372" t="s">
        <v>594</v>
      </c>
      <c r="BR372" t="s">
        <v>1253</v>
      </c>
      <c r="BS372" s="3">
        <v>45892</v>
      </c>
      <c r="BT372" s="4">
        <v>0.42638888888888887</v>
      </c>
      <c r="BU372" t="s">
        <v>1128</v>
      </c>
      <c r="BV372" t="s">
        <v>90</v>
      </c>
      <c r="BW372" t="s">
        <v>605</v>
      </c>
      <c r="BX372" t="s">
        <v>319</v>
      </c>
      <c r="BY372">
        <v>59400</v>
      </c>
      <c r="BZ372" t="s">
        <v>606</v>
      </c>
      <c r="CC372" t="s">
        <v>92</v>
      </c>
      <c r="CD372">
        <v>4000</v>
      </c>
      <c r="CE372" t="s">
        <v>355</v>
      </c>
      <c r="CF372" s="3">
        <v>45895</v>
      </c>
      <c r="CI372">
        <v>1</v>
      </c>
      <c r="CJ372">
        <v>2</v>
      </c>
      <c r="CK372">
        <v>41</v>
      </c>
      <c r="CL372" t="s">
        <v>90</v>
      </c>
    </row>
    <row r="373" spans="1:90" x14ac:dyDescent="0.3">
      <c r="A373" t="s">
        <v>72</v>
      </c>
      <c r="B373" t="s">
        <v>73</v>
      </c>
      <c r="C373" t="s">
        <v>74</v>
      </c>
      <c r="E373" t="str">
        <f>"009945127735"</f>
        <v>009945127735</v>
      </c>
      <c r="F373" s="3">
        <v>45889</v>
      </c>
      <c r="G373">
        <v>202605</v>
      </c>
      <c r="H373" t="s">
        <v>91</v>
      </c>
      <c r="I373" t="s">
        <v>92</v>
      </c>
      <c r="J373" t="s">
        <v>592</v>
      </c>
      <c r="K373" t="s">
        <v>78</v>
      </c>
      <c r="L373" t="s">
        <v>75</v>
      </c>
      <c r="M373" t="s">
        <v>76</v>
      </c>
      <c r="N373" t="s">
        <v>257</v>
      </c>
      <c r="O373" t="s">
        <v>100</v>
      </c>
      <c r="P373" t="str">
        <f>"LEVENE                        "</f>
        <v xml:space="preserve">LEVENE                        </v>
      </c>
      <c r="Q373">
        <v>0</v>
      </c>
      <c r="R373">
        <v>0</v>
      </c>
      <c r="S373">
        <v>0</v>
      </c>
      <c r="T373">
        <v>0</v>
      </c>
      <c r="U373">
        <v>0</v>
      </c>
      <c r="V373">
        <v>0</v>
      </c>
      <c r="W373">
        <v>0</v>
      </c>
      <c r="X373">
        <v>0</v>
      </c>
      <c r="Y373">
        <v>0</v>
      </c>
      <c r="Z373">
        <v>0</v>
      </c>
      <c r="AA373">
        <v>0</v>
      </c>
      <c r="AB373">
        <v>0</v>
      </c>
      <c r="AC373">
        <v>0</v>
      </c>
      <c r="AD373">
        <v>0</v>
      </c>
      <c r="AE373">
        <v>0</v>
      </c>
      <c r="AF373">
        <v>0</v>
      </c>
      <c r="AG373">
        <v>0</v>
      </c>
      <c r="AH373">
        <v>0</v>
      </c>
      <c r="AI373">
        <v>0</v>
      </c>
      <c r="AJ373">
        <v>0</v>
      </c>
      <c r="AK373">
        <v>0</v>
      </c>
      <c r="AL373">
        <v>0</v>
      </c>
      <c r="AM373">
        <v>0</v>
      </c>
      <c r="AN373">
        <v>0</v>
      </c>
      <c r="AO373">
        <v>0</v>
      </c>
      <c r="AP373">
        <v>0</v>
      </c>
      <c r="AQ373">
        <v>23.09</v>
      </c>
      <c r="AR373">
        <v>0</v>
      </c>
      <c r="AS373">
        <v>0</v>
      </c>
      <c r="AT373">
        <v>0</v>
      </c>
      <c r="AU373">
        <v>0</v>
      </c>
      <c r="AV373">
        <v>0</v>
      </c>
      <c r="AW373">
        <v>0</v>
      </c>
      <c r="AX373">
        <v>0</v>
      </c>
      <c r="AY373">
        <v>0</v>
      </c>
      <c r="AZ373">
        <v>0</v>
      </c>
      <c r="BA373">
        <v>0</v>
      </c>
      <c r="BB373">
        <v>0</v>
      </c>
      <c r="BC373">
        <v>0</v>
      </c>
      <c r="BD373">
        <v>0</v>
      </c>
      <c r="BE373">
        <v>0</v>
      </c>
      <c r="BF373">
        <v>0</v>
      </c>
      <c r="BG373">
        <v>0</v>
      </c>
      <c r="BH373">
        <v>1</v>
      </c>
      <c r="BI373">
        <v>1</v>
      </c>
      <c r="BJ373">
        <v>0.2</v>
      </c>
      <c r="BK373">
        <v>1</v>
      </c>
      <c r="BL373">
        <v>71.69</v>
      </c>
      <c r="BM373">
        <v>10.75</v>
      </c>
      <c r="BN373">
        <v>82.44</v>
      </c>
      <c r="BO373">
        <v>82.44</v>
      </c>
      <c r="BQ373" t="s">
        <v>1254</v>
      </c>
      <c r="BR373" t="s">
        <v>594</v>
      </c>
      <c r="BS373" s="3">
        <v>45891</v>
      </c>
      <c r="BT373" s="4">
        <v>0.51527777777777772</v>
      </c>
      <c r="BU373" t="s">
        <v>349</v>
      </c>
      <c r="BV373" t="s">
        <v>90</v>
      </c>
      <c r="BW373" t="s">
        <v>156</v>
      </c>
      <c r="BX373" t="s">
        <v>350</v>
      </c>
      <c r="BY373">
        <v>1200</v>
      </c>
      <c r="BZ373" t="s">
        <v>102</v>
      </c>
      <c r="CA373" t="s">
        <v>351</v>
      </c>
      <c r="CC373" t="s">
        <v>76</v>
      </c>
      <c r="CD373">
        <v>7485</v>
      </c>
      <c r="CE373" t="s">
        <v>176</v>
      </c>
      <c r="CF373" s="3">
        <v>45894</v>
      </c>
      <c r="CI373">
        <v>2</v>
      </c>
      <c r="CJ373">
        <v>2</v>
      </c>
      <c r="CK373">
        <v>21</v>
      </c>
      <c r="CL373" t="s">
        <v>90</v>
      </c>
    </row>
    <row r="374" spans="1:90" x14ac:dyDescent="0.3">
      <c r="A374" t="s">
        <v>72</v>
      </c>
      <c r="B374" t="s">
        <v>73</v>
      </c>
      <c r="C374" t="s">
        <v>74</v>
      </c>
      <c r="E374" t="str">
        <f>"GAB2027770"</f>
        <v>GAB2027770</v>
      </c>
      <c r="F374" s="3">
        <v>45877</v>
      </c>
      <c r="G374">
        <v>202605</v>
      </c>
      <c r="H374" t="s">
        <v>75</v>
      </c>
      <c r="I374" t="s">
        <v>76</v>
      </c>
      <c r="J374" t="s">
        <v>77</v>
      </c>
      <c r="K374" t="s">
        <v>78</v>
      </c>
      <c r="L374" t="s">
        <v>1255</v>
      </c>
      <c r="M374" t="s">
        <v>1256</v>
      </c>
      <c r="N374" t="s">
        <v>1257</v>
      </c>
      <c r="O374" t="s">
        <v>82</v>
      </c>
      <c r="P374" t="str">
        <f>"INV-00038317 035308           "</f>
        <v xml:space="preserve">INV-00038317 035308           </v>
      </c>
      <c r="Q374">
        <v>0</v>
      </c>
      <c r="R374">
        <v>0</v>
      </c>
      <c r="S374">
        <v>0</v>
      </c>
      <c r="T374">
        <v>0</v>
      </c>
      <c r="U374">
        <v>0</v>
      </c>
      <c r="V374">
        <v>0</v>
      </c>
      <c r="W374">
        <v>0</v>
      </c>
      <c r="X374">
        <v>0</v>
      </c>
      <c r="Y374">
        <v>0</v>
      </c>
      <c r="Z374">
        <v>0</v>
      </c>
      <c r="AA374">
        <v>0</v>
      </c>
      <c r="AB374">
        <v>0</v>
      </c>
      <c r="AC374">
        <v>0</v>
      </c>
      <c r="AD374">
        <v>0</v>
      </c>
      <c r="AE374">
        <v>0</v>
      </c>
      <c r="AF374">
        <v>0</v>
      </c>
      <c r="AG374">
        <v>5.87</v>
      </c>
      <c r="AH374">
        <v>0</v>
      </c>
      <c r="AI374">
        <v>0</v>
      </c>
      <c r="AJ374">
        <v>0</v>
      </c>
      <c r="AK374">
        <v>0</v>
      </c>
      <c r="AL374">
        <v>0</v>
      </c>
      <c r="AM374">
        <v>0</v>
      </c>
      <c r="AN374">
        <v>0</v>
      </c>
      <c r="AO374">
        <v>0</v>
      </c>
      <c r="AP374">
        <v>0</v>
      </c>
      <c r="AQ374">
        <v>117.63</v>
      </c>
      <c r="AR374">
        <v>0</v>
      </c>
      <c r="AS374">
        <v>0</v>
      </c>
      <c r="AT374">
        <v>0</v>
      </c>
      <c r="AU374">
        <v>0</v>
      </c>
      <c r="AV374">
        <v>0</v>
      </c>
      <c r="AW374">
        <v>16.739999999999998</v>
      </c>
      <c r="AX374">
        <v>0</v>
      </c>
      <c r="AY374">
        <v>0</v>
      </c>
      <c r="AZ374">
        <v>0</v>
      </c>
      <c r="BA374">
        <v>0</v>
      </c>
      <c r="BB374">
        <v>0</v>
      </c>
      <c r="BC374">
        <v>0</v>
      </c>
      <c r="BD374">
        <v>0</v>
      </c>
      <c r="BE374">
        <v>0</v>
      </c>
      <c r="BF374">
        <v>0</v>
      </c>
      <c r="BG374">
        <v>0</v>
      </c>
      <c r="BH374">
        <v>3</v>
      </c>
      <c r="BI374">
        <v>17.399999999999999</v>
      </c>
      <c r="BJ374">
        <v>31.2</v>
      </c>
      <c r="BK374">
        <v>32</v>
      </c>
      <c r="BL374">
        <v>387.88</v>
      </c>
      <c r="BM374">
        <v>58.18</v>
      </c>
      <c r="BN374">
        <v>446.06</v>
      </c>
      <c r="BO374">
        <v>446.06</v>
      </c>
      <c r="BQ374" t="s">
        <v>168</v>
      </c>
      <c r="BR374" t="s">
        <v>84</v>
      </c>
      <c r="BS374" s="3">
        <v>45884</v>
      </c>
      <c r="BT374" s="4">
        <v>0.60416666666666663</v>
      </c>
      <c r="BU374" t="s">
        <v>1258</v>
      </c>
      <c r="BV374" t="s">
        <v>86</v>
      </c>
      <c r="BY374">
        <v>156123.76999999999</v>
      </c>
      <c r="BZ374" t="s">
        <v>1259</v>
      </c>
      <c r="CA374" t="s">
        <v>1260</v>
      </c>
      <c r="CC374" t="s">
        <v>1256</v>
      </c>
      <c r="CD374">
        <v>3865</v>
      </c>
      <c r="CE374" t="s">
        <v>1261</v>
      </c>
      <c r="CF374" s="3">
        <v>45884</v>
      </c>
      <c r="CI374">
        <v>8</v>
      </c>
      <c r="CJ374">
        <v>5</v>
      </c>
      <c r="CK374">
        <v>43</v>
      </c>
      <c r="CL374" t="s">
        <v>90</v>
      </c>
    </row>
    <row r="375" spans="1:90" x14ac:dyDescent="0.3">
      <c r="A375" t="s">
        <v>72</v>
      </c>
      <c r="B375" t="s">
        <v>73</v>
      </c>
      <c r="C375" t="s">
        <v>74</v>
      </c>
      <c r="E375" t="str">
        <f>"009945127716"</f>
        <v>009945127716</v>
      </c>
      <c r="F375" s="3">
        <v>45876</v>
      </c>
      <c r="G375">
        <v>202605</v>
      </c>
      <c r="H375" t="s">
        <v>91</v>
      </c>
      <c r="I375" t="s">
        <v>92</v>
      </c>
      <c r="J375" t="s">
        <v>592</v>
      </c>
      <c r="K375" t="s">
        <v>78</v>
      </c>
      <c r="L375" t="s">
        <v>75</v>
      </c>
      <c r="M375" t="s">
        <v>76</v>
      </c>
      <c r="N375" t="s">
        <v>257</v>
      </c>
      <c r="O375" t="s">
        <v>82</v>
      </c>
      <c r="P375" t="str">
        <f>"LEVENE                        "</f>
        <v xml:space="preserve">LEVENE                        </v>
      </c>
      <c r="Q375">
        <v>0</v>
      </c>
      <c r="R375">
        <v>0</v>
      </c>
      <c r="S375">
        <v>0</v>
      </c>
      <c r="T375">
        <v>0</v>
      </c>
      <c r="U375">
        <v>0</v>
      </c>
      <c r="V375">
        <v>0</v>
      </c>
      <c r="W375">
        <v>0</v>
      </c>
      <c r="X375">
        <v>0</v>
      </c>
      <c r="Y375">
        <v>0</v>
      </c>
      <c r="Z375">
        <v>0</v>
      </c>
      <c r="AA375">
        <v>0</v>
      </c>
      <c r="AB375">
        <v>0</v>
      </c>
      <c r="AC375">
        <v>0</v>
      </c>
      <c r="AD375">
        <v>0</v>
      </c>
      <c r="AE375">
        <v>0</v>
      </c>
      <c r="AF375">
        <v>0</v>
      </c>
      <c r="AG375">
        <v>5.87</v>
      </c>
      <c r="AH375">
        <v>0</v>
      </c>
      <c r="AI375">
        <v>0</v>
      </c>
      <c r="AJ375">
        <v>0</v>
      </c>
      <c r="AK375">
        <v>0</v>
      </c>
      <c r="AL375">
        <v>0</v>
      </c>
      <c r="AM375">
        <v>0</v>
      </c>
      <c r="AN375">
        <v>0</v>
      </c>
      <c r="AO375">
        <v>0</v>
      </c>
      <c r="AP375">
        <v>0</v>
      </c>
      <c r="AQ375">
        <v>44.64</v>
      </c>
      <c r="AR375">
        <v>0</v>
      </c>
      <c r="AS375">
        <v>0</v>
      </c>
      <c r="AT375">
        <v>0</v>
      </c>
      <c r="AU375">
        <v>0</v>
      </c>
      <c r="AV375">
        <v>0</v>
      </c>
      <c r="AW375">
        <v>0</v>
      </c>
      <c r="AX375">
        <v>0</v>
      </c>
      <c r="AY375">
        <v>0</v>
      </c>
      <c r="AZ375">
        <v>0</v>
      </c>
      <c r="BA375">
        <v>0</v>
      </c>
      <c r="BB375">
        <v>0</v>
      </c>
      <c r="BC375">
        <v>0</v>
      </c>
      <c r="BD375">
        <v>0</v>
      </c>
      <c r="BE375">
        <v>0</v>
      </c>
      <c r="BF375">
        <v>0</v>
      </c>
      <c r="BG375">
        <v>0</v>
      </c>
      <c r="BH375">
        <v>1</v>
      </c>
      <c r="BI375">
        <v>1.2</v>
      </c>
      <c r="BJ375">
        <v>5.4</v>
      </c>
      <c r="BK375">
        <v>6</v>
      </c>
      <c r="BL375">
        <v>144.49</v>
      </c>
      <c r="BM375">
        <v>21.67</v>
      </c>
      <c r="BN375">
        <v>166.16</v>
      </c>
      <c r="BO375">
        <v>166.16</v>
      </c>
      <c r="BQ375" t="s">
        <v>1262</v>
      </c>
      <c r="BR375" t="s">
        <v>594</v>
      </c>
      <c r="BS375" s="3">
        <v>45882</v>
      </c>
      <c r="BT375" s="4">
        <v>0.47430555555555554</v>
      </c>
      <c r="BU375" t="s">
        <v>349</v>
      </c>
      <c r="BV375" t="s">
        <v>86</v>
      </c>
      <c r="BY375">
        <v>27000</v>
      </c>
      <c r="BZ375" t="s">
        <v>530</v>
      </c>
      <c r="CA375" t="s">
        <v>351</v>
      </c>
      <c r="CC375" t="s">
        <v>76</v>
      </c>
      <c r="CD375">
        <v>7460</v>
      </c>
      <c r="CE375" t="s">
        <v>352</v>
      </c>
      <c r="CF375" s="3">
        <v>45883</v>
      </c>
      <c r="CI375">
        <v>3</v>
      </c>
      <c r="CJ375">
        <v>4</v>
      </c>
      <c r="CK375">
        <v>41</v>
      </c>
      <c r="CL375" t="s">
        <v>90</v>
      </c>
    </row>
    <row r="376" spans="1:90" x14ac:dyDescent="0.3">
      <c r="A376" t="s">
        <v>72</v>
      </c>
      <c r="B376" t="s">
        <v>73</v>
      </c>
      <c r="C376" t="s">
        <v>74</v>
      </c>
      <c r="E376" t="str">
        <f>"GAB2027988"</f>
        <v>GAB2027988</v>
      </c>
      <c r="F376" s="3">
        <v>45890</v>
      </c>
      <c r="G376">
        <v>202605</v>
      </c>
      <c r="H376" t="s">
        <v>75</v>
      </c>
      <c r="I376" t="s">
        <v>76</v>
      </c>
      <c r="J376" t="s">
        <v>77</v>
      </c>
      <c r="K376" t="s">
        <v>78</v>
      </c>
      <c r="L376" t="s">
        <v>494</v>
      </c>
      <c r="M376" t="s">
        <v>495</v>
      </c>
      <c r="N376" t="s">
        <v>567</v>
      </c>
      <c r="O376" t="s">
        <v>82</v>
      </c>
      <c r="P376" t="str">
        <f>"00038687 00038699 035662 03567"</f>
        <v>00038687 00038699 035662 03567</v>
      </c>
      <c r="Q376">
        <v>0</v>
      </c>
      <c r="R376">
        <v>0</v>
      </c>
      <c r="S376">
        <v>0</v>
      </c>
      <c r="T376">
        <v>0</v>
      </c>
      <c r="U376">
        <v>0</v>
      </c>
      <c r="V376">
        <v>0</v>
      </c>
      <c r="W376">
        <v>0</v>
      </c>
      <c r="X376">
        <v>0</v>
      </c>
      <c r="Y376">
        <v>0</v>
      </c>
      <c r="Z376">
        <v>0</v>
      </c>
      <c r="AA376">
        <v>0</v>
      </c>
      <c r="AB376">
        <v>0</v>
      </c>
      <c r="AC376">
        <v>0</v>
      </c>
      <c r="AD376">
        <v>0</v>
      </c>
      <c r="AE376">
        <v>0</v>
      </c>
      <c r="AF376">
        <v>0</v>
      </c>
      <c r="AG376">
        <v>5.87</v>
      </c>
      <c r="AH376">
        <v>0</v>
      </c>
      <c r="AI376">
        <v>0</v>
      </c>
      <c r="AJ376">
        <v>0</v>
      </c>
      <c r="AK376">
        <v>0</v>
      </c>
      <c r="AL376">
        <v>0</v>
      </c>
      <c r="AM376">
        <v>0</v>
      </c>
      <c r="AN376">
        <v>0</v>
      </c>
      <c r="AO376">
        <v>0</v>
      </c>
      <c r="AP376">
        <v>0</v>
      </c>
      <c r="AQ376">
        <v>94.4</v>
      </c>
      <c r="AR376">
        <v>0</v>
      </c>
      <c r="AS376">
        <v>0</v>
      </c>
      <c r="AT376">
        <v>0</v>
      </c>
      <c r="AU376">
        <v>0</v>
      </c>
      <c r="AV376">
        <v>0</v>
      </c>
      <c r="AW376">
        <v>0</v>
      </c>
      <c r="AX376">
        <v>0</v>
      </c>
      <c r="AY376">
        <v>0</v>
      </c>
      <c r="AZ376">
        <v>0</v>
      </c>
      <c r="BA376">
        <v>0</v>
      </c>
      <c r="BB376">
        <v>0</v>
      </c>
      <c r="BC376">
        <v>0</v>
      </c>
      <c r="BD376">
        <v>0</v>
      </c>
      <c r="BE376">
        <v>0</v>
      </c>
      <c r="BF376">
        <v>0</v>
      </c>
      <c r="BG376">
        <v>0</v>
      </c>
      <c r="BH376">
        <v>3</v>
      </c>
      <c r="BI376">
        <v>16.8</v>
      </c>
      <c r="BJ376">
        <v>41.5</v>
      </c>
      <c r="BK376">
        <v>42</v>
      </c>
      <c r="BL376">
        <v>299.01</v>
      </c>
      <c r="BM376">
        <v>44.85</v>
      </c>
      <c r="BN376">
        <v>343.86</v>
      </c>
      <c r="BO376">
        <v>343.86</v>
      </c>
      <c r="BQ376" t="s">
        <v>1263</v>
      </c>
      <c r="BR376" t="s">
        <v>84</v>
      </c>
      <c r="BS376" s="3">
        <v>45896</v>
      </c>
      <c r="BT376" s="4">
        <v>0.41875000000000001</v>
      </c>
      <c r="BU376" t="s">
        <v>1264</v>
      </c>
      <c r="BV376" t="s">
        <v>86</v>
      </c>
      <c r="BY376">
        <v>207608.21</v>
      </c>
      <c r="CA376" t="s">
        <v>570</v>
      </c>
      <c r="CC376" t="s">
        <v>495</v>
      </c>
      <c r="CD376">
        <v>3201</v>
      </c>
      <c r="CE376" t="s">
        <v>361</v>
      </c>
      <c r="CF376" s="3">
        <v>45896</v>
      </c>
      <c r="CI376">
        <v>4</v>
      </c>
      <c r="CJ376">
        <v>4</v>
      </c>
      <c r="CK376">
        <v>41</v>
      </c>
      <c r="CL376" t="s">
        <v>90</v>
      </c>
    </row>
    <row r="377" spans="1:90" x14ac:dyDescent="0.3">
      <c r="A377" t="s">
        <v>72</v>
      </c>
      <c r="B377" t="s">
        <v>73</v>
      </c>
      <c r="C377" t="s">
        <v>74</v>
      </c>
      <c r="E377" t="str">
        <f>"GAB2028003"</f>
        <v>GAB2028003</v>
      </c>
      <c r="F377" s="3">
        <v>45890</v>
      </c>
      <c r="G377">
        <v>202605</v>
      </c>
      <c r="H377" t="s">
        <v>75</v>
      </c>
      <c r="I377" t="s">
        <v>76</v>
      </c>
      <c r="J377" t="s">
        <v>77</v>
      </c>
      <c r="K377" t="s">
        <v>78</v>
      </c>
      <c r="L377" t="s">
        <v>165</v>
      </c>
      <c r="M377" t="s">
        <v>166</v>
      </c>
      <c r="N377" t="s">
        <v>1265</v>
      </c>
      <c r="O377" t="s">
        <v>82</v>
      </c>
      <c r="P377" t="str">
        <f>"000414 00411                  "</f>
        <v xml:space="preserve">000414 00411                  </v>
      </c>
      <c r="Q377">
        <v>0</v>
      </c>
      <c r="R377">
        <v>0</v>
      </c>
      <c r="S377">
        <v>0</v>
      </c>
      <c r="T377">
        <v>0</v>
      </c>
      <c r="U377">
        <v>0</v>
      </c>
      <c r="V377">
        <v>0</v>
      </c>
      <c r="W377">
        <v>0</v>
      </c>
      <c r="X377">
        <v>0</v>
      </c>
      <c r="Y377">
        <v>0</v>
      </c>
      <c r="Z377">
        <v>0</v>
      </c>
      <c r="AA377">
        <v>0</v>
      </c>
      <c r="AB377">
        <v>0</v>
      </c>
      <c r="AC377">
        <v>0</v>
      </c>
      <c r="AD377">
        <v>0</v>
      </c>
      <c r="AE377">
        <v>0</v>
      </c>
      <c r="AF377">
        <v>0</v>
      </c>
      <c r="AG377">
        <v>5.87</v>
      </c>
      <c r="AH377">
        <v>0</v>
      </c>
      <c r="AI377">
        <v>0</v>
      </c>
      <c r="AJ377">
        <v>0</v>
      </c>
      <c r="AK377">
        <v>0</v>
      </c>
      <c r="AL377">
        <v>0</v>
      </c>
      <c r="AM377">
        <v>0</v>
      </c>
      <c r="AN377">
        <v>0</v>
      </c>
      <c r="AO377">
        <v>0</v>
      </c>
      <c r="AP377">
        <v>0</v>
      </c>
      <c r="AQ377">
        <v>62.96</v>
      </c>
      <c r="AR377">
        <v>0</v>
      </c>
      <c r="AS377">
        <v>0</v>
      </c>
      <c r="AT377">
        <v>0</v>
      </c>
      <c r="AU377">
        <v>0</v>
      </c>
      <c r="AV377">
        <v>0</v>
      </c>
      <c r="AW377">
        <v>0</v>
      </c>
      <c r="AX377">
        <v>0</v>
      </c>
      <c r="AY377">
        <v>0</v>
      </c>
      <c r="AZ377">
        <v>0</v>
      </c>
      <c r="BA377">
        <v>0</v>
      </c>
      <c r="BB377">
        <v>0</v>
      </c>
      <c r="BC377">
        <v>0</v>
      </c>
      <c r="BD377">
        <v>0</v>
      </c>
      <c r="BE377">
        <v>0</v>
      </c>
      <c r="BF377">
        <v>0</v>
      </c>
      <c r="BG377">
        <v>0</v>
      </c>
      <c r="BH377">
        <v>1</v>
      </c>
      <c r="BI377">
        <v>2.2000000000000002</v>
      </c>
      <c r="BJ377">
        <v>7.5</v>
      </c>
      <c r="BK377">
        <v>8</v>
      </c>
      <c r="BL377">
        <v>201.38</v>
      </c>
      <c r="BM377">
        <v>30.21</v>
      </c>
      <c r="BN377">
        <v>231.59</v>
      </c>
      <c r="BO377">
        <v>231.59</v>
      </c>
      <c r="BQ377" t="s">
        <v>397</v>
      </c>
      <c r="BR377" t="s">
        <v>84</v>
      </c>
      <c r="BS377" s="3">
        <v>45894</v>
      </c>
      <c r="BT377" s="4">
        <v>0.41666666666666669</v>
      </c>
      <c r="BU377" t="s">
        <v>1266</v>
      </c>
      <c r="BV377" t="s">
        <v>86</v>
      </c>
      <c r="BY377">
        <v>37674</v>
      </c>
      <c r="CC377" t="s">
        <v>166</v>
      </c>
      <c r="CD377">
        <v>2745</v>
      </c>
      <c r="CE377" t="s">
        <v>396</v>
      </c>
      <c r="CF377" s="3">
        <v>45895</v>
      </c>
      <c r="CI377">
        <v>2</v>
      </c>
      <c r="CJ377">
        <v>2</v>
      </c>
      <c r="CK377">
        <v>43</v>
      </c>
      <c r="CL377" t="s">
        <v>90</v>
      </c>
    </row>
    <row r="378" spans="1:90" x14ac:dyDescent="0.3">
      <c r="A378" t="s">
        <v>72</v>
      </c>
      <c r="B378" t="s">
        <v>73</v>
      </c>
      <c r="C378" t="s">
        <v>74</v>
      </c>
      <c r="E378" t="str">
        <f>"GAB2028004"</f>
        <v>GAB2028004</v>
      </c>
      <c r="F378" s="3">
        <v>45890</v>
      </c>
      <c r="G378">
        <v>202605</v>
      </c>
      <c r="H378" t="s">
        <v>75</v>
      </c>
      <c r="I378" t="s">
        <v>76</v>
      </c>
      <c r="J378" t="s">
        <v>77</v>
      </c>
      <c r="K378" t="s">
        <v>78</v>
      </c>
      <c r="L378" t="s">
        <v>415</v>
      </c>
      <c r="M378" t="s">
        <v>416</v>
      </c>
      <c r="N378" t="s">
        <v>1267</v>
      </c>
      <c r="O378" t="s">
        <v>82</v>
      </c>
      <c r="P378" t="str">
        <f>"91557 096083                  "</f>
        <v xml:space="preserve">91557 096083                  </v>
      </c>
      <c r="Q378">
        <v>0</v>
      </c>
      <c r="R378">
        <v>0</v>
      </c>
      <c r="S378">
        <v>0</v>
      </c>
      <c r="T378">
        <v>0</v>
      </c>
      <c r="U378">
        <v>0</v>
      </c>
      <c r="V378">
        <v>0</v>
      </c>
      <c r="W378">
        <v>0</v>
      </c>
      <c r="X378">
        <v>0</v>
      </c>
      <c r="Y378">
        <v>0</v>
      </c>
      <c r="Z378">
        <v>0</v>
      </c>
      <c r="AA378">
        <v>0</v>
      </c>
      <c r="AB378">
        <v>0</v>
      </c>
      <c r="AC378">
        <v>0</v>
      </c>
      <c r="AD378">
        <v>0</v>
      </c>
      <c r="AE378">
        <v>0</v>
      </c>
      <c r="AF378">
        <v>0</v>
      </c>
      <c r="AG378">
        <v>5.87</v>
      </c>
      <c r="AH378">
        <v>0</v>
      </c>
      <c r="AI378">
        <v>0</v>
      </c>
      <c r="AJ378">
        <v>0</v>
      </c>
      <c r="AK378">
        <v>0</v>
      </c>
      <c r="AL378">
        <v>0</v>
      </c>
      <c r="AM378">
        <v>0</v>
      </c>
      <c r="AN378">
        <v>0</v>
      </c>
      <c r="AO378">
        <v>0</v>
      </c>
      <c r="AP378">
        <v>0</v>
      </c>
      <c r="AQ378">
        <v>44.64</v>
      </c>
      <c r="AR378">
        <v>0</v>
      </c>
      <c r="AS378">
        <v>0</v>
      </c>
      <c r="AT378">
        <v>0</v>
      </c>
      <c r="AU378">
        <v>0</v>
      </c>
      <c r="AV378">
        <v>0</v>
      </c>
      <c r="AW378">
        <v>0</v>
      </c>
      <c r="AX378">
        <v>0</v>
      </c>
      <c r="AY378">
        <v>0</v>
      </c>
      <c r="AZ378">
        <v>0</v>
      </c>
      <c r="BA378">
        <v>0</v>
      </c>
      <c r="BB378">
        <v>0</v>
      </c>
      <c r="BC378">
        <v>0</v>
      </c>
      <c r="BD378">
        <v>0</v>
      </c>
      <c r="BE378">
        <v>0</v>
      </c>
      <c r="BF378">
        <v>0</v>
      </c>
      <c r="BG378">
        <v>0</v>
      </c>
      <c r="BH378">
        <v>1</v>
      </c>
      <c r="BI378">
        <v>10.4</v>
      </c>
      <c r="BJ378">
        <v>12.7</v>
      </c>
      <c r="BK378">
        <v>13</v>
      </c>
      <c r="BL378">
        <v>144.49</v>
      </c>
      <c r="BM378">
        <v>21.67</v>
      </c>
      <c r="BN378">
        <v>166.16</v>
      </c>
      <c r="BO378">
        <v>166.16</v>
      </c>
      <c r="BR378" t="s">
        <v>84</v>
      </c>
      <c r="BS378" s="3">
        <v>45894</v>
      </c>
      <c r="BT378" s="4">
        <v>0.55902777777777779</v>
      </c>
      <c r="BU378" t="s">
        <v>1268</v>
      </c>
      <c r="BV378" t="s">
        <v>86</v>
      </c>
      <c r="BY378">
        <v>63736.2</v>
      </c>
      <c r="CA378" t="s">
        <v>1269</v>
      </c>
      <c r="CC378" t="s">
        <v>416</v>
      </c>
      <c r="CD378">
        <v>2000</v>
      </c>
      <c r="CE378" t="s">
        <v>396</v>
      </c>
      <c r="CF378" s="3">
        <v>45895</v>
      </c>
      <c r="CI378">
        <v>2</v>
      </c>
      <c r="CJ378">
        <v>2</v>
      </c>
      <c r="CK378">
        <v>41</v>
      </c>
      <c r="CL378" t="s">
        <v>90</v>
      </c>
    </row>
    <row r="379" spans="1:90" x14ac:dyDescent="0.3">
      <c r="A379" t="s">
        <v>72</v>
      </c>
      <c r="B379" t="s">
        <v>73</v>
      </c>
      <c r="C379" t="s">
        <v>74</v>
      </c>
      <c r="E379" t="str">
        <f>"GAB2027989"</f>
        <v>GAB2027989</v>
      </c>
      <c r="F379" s="3">
        <v>45890</v>
      </c>
      <c r="G379">
        <v>202605</v>
      </c>
      <c r="H379" t="s">
        <v>75</v>
      </c>
      <c r="I379" t="s">
        <v>76</v>
      </c>
      <c r="J379" t="s">
        <v>77</v>
      </c>
      <c r="K379" t="s">
        <v>78</v>
      </c>
      <c r="L379" t="s">
        <v>415</v>
      </c>
      <c r="M379" t="s">
        <v>416</v>
      </c>
      <c r="N379" t="s">
        <v>677</v>
      </c>
      <c r="O379" t="s">
        <v>100</v>
      </c>
      <c r="P379" t="str">
        <f>"00038716 035661               "</f>
        <v xml:space="preserve">00038716 035661               </v>
      </c>
      <c r="Q379">
        <v>0</v>
      </c>
      <c r="R379">
        <v>0</v>
      </c>
      <c r="S379">
        <v>0</v>
      </c>
      <c r="T379">
        <v>0</v>
      </c>
      <c r="U379">
        <v>0</v>
      </c>
      <c r="V379">
        <v>0</v>
      </c>
      <c r="W379">
        <v>0</v>
      </c>
      <c r="X379">
        <v>0</v>
      </c>
      <c r="Y379">
        <v>0</v>
      </c>
      <c r="Z379">
        <v>0</v>
      </c>
      <c r="AA379">
        <v>0</v>
      </c>
      <c r="AB379">
        <v>0</v>
      </c>
      <c r="AC379">
        <v>0</v>
      </c>
      <c r="AD379">
        <v>0</v>
      </c>
      <c r="AE379">
        <v>0</v>
      </c>
      <c r="AF379">
        <v>0</v>
      </c>
      <c r="AG379">
        <v>0</v>
      </c>
      <c r="AH379">
        <v>0</v>
      </c>
      <c r="AI379">
        <v>0</v>
      </c>
      <c r="AJ379">
        <v>0</v>
      </c>
      <c r="AK379">
        <v>0</v>
      </c>
      <c r="AL379">
        <v>0</v>
      </c>
      <c r="AM379">
        <v>0</v>
      </c>
      <c r="AN379">
        <v>0</v>
      </c>
      <c r="AO379">
        <v>0</v>
      </c>
      <c r="AP379">
        <v>0</v>
      </c>
      <c r="AQ379">
        <v>23.09</v>
      </c>
      <c r="AR379">
        <v>0</v>
      </c>
      <c r="AS379">
        <v>0</v>
      </c>
      <c r="AT379">
        <v>0</v>
      </c>
      <c r="AU379">
        <v>0</v>
      </c>
      <c r="AV379">
        <v>0</v>
      </c>
      <c r="AW379">
        <v>0</v>
      </c>
      <c r="AX379">
        <v>0</v>
      </c>
      <c r="AY379">
        <v>0</v>
      </c>
      <c r="AZ379">
        <v>0</v>
      </c>
      <c r="BA379">
        <v>0</v>
      </c>
      <c r="BB379">
        <v>0</v>
      </c>
      <c r="BC379">
        <v>0</v>
      </c>
      <c r="BD379">
        <v>0</v>
      </c>
      <c r="BE379">
        <v>0</v>
      </c>
      <c r="BF379">
        <v>0</v>
      </c>
      <c r="BG379">
        <v>0</v>
      </c>
      <c r="BH379">
        <v>1</v>
      </c>
      <c r="BI379">
        <v>0.2</v>
      </c>
      <c r="BJ379">
        <v>2</v>
      </c>
      <c r="BK379">
        <v>2</v>
      </c>
      <c r="BL379">
        <v>71.69</v>
      </c>
      <c r="BM379">
        <v>10.75</v>
      </c>
      <c r="BN379">
        <v>82.44</v>
      </c>
      <c r="BO379">
        <v>82.44</v>
      </c>
      <c r="BQ379" t="s">
        <v>1270</v>
      </c>
      <c r="BR379" t="s">
        <v>84</v>
      </c>
      <c r="BS379" s="3">
        <v>45891</v>
      </c>
      <c r="BT379" s="4">
        <v>0.36944444444444446</v>
      </c>
      <c r="BU379" t="s">
        <v>1271</v>
      </c>
      <c r="BV379" t="s">
        <v>86</v>
      </c>
      <c r="BY379">
        <v>9846.7199999999993</v>
      </c>
      <c r="BZ379" t="s">
        <v>102</v>
      </c>
      <c r="CA379" t="s">
        <v>1272</v>
      </c>
      <c r="CC379" t="s">
        <v>416</v>
      </c>
      <c r="CD379">
        <v>2191</v>
      </c>
      <c r="CE379" t="s">
        <v>686</v>
      </c>
      <c r="CF379" s="3">
        <v>45891</v>
      </c>
      <c r="CI379">
        <v>1</v>
      </c>
      <c r="CJ379">
        <v>1</v>
      </c>
      <c r="CK379">
        <v>21</v>
      </c>
      <c r="CL379" t="s">
        <v>90</v>
      </c>
    </row>
    <row r="380" spans="1:90" x14ac:dyDescent="0.3">
      <c r="A380" t="s">
        <v>72</v>
      </c>
      <c r="B380" t="s">
        <v>73</v>
      </c>
      <c r="C380" t="s">
        <v>74</v>
      </c>
      <c r="E380" t="str">
        <f>"GAB2027990"</f>
        <v>GAB2027990</v>
      </c>
      <c r="F380" s="3">
        <v>45890</v>
      </c>
      <c r="G380">
        <v>202605</v>
      </c>
      <c r="H380" t="s">
        <v>75</v>
      </c>
      <c r="I380" t="s">
        <v>76</v>
      </c>
      <c r="J380" t="s">
        <v>77</v>
      </c>
      <c r="K380" t="s">
        <v>78</v>
      </c>
      <c r="L380" t="s">
        <v>126</v>
      </c>
      <c r="M380" t="s">
        <v>127</v>
      </c>
      <c r="N380" t="s">
        <v>128</v>
      </c>
      <c r="O380" t="s">
        <v>100</v>
      </c>
      <c r="P380" t="str">
        <f>"00120339 096744               "</f>
        <v xml:space="preserve">00120339 096744               </v>
      </c>
      <c r="Q380">
        <v>0</v>
      </c>
      <c r="R380">
        <v>0</v>
      </c>
      <c r="S380">
        <v>0</v>
      </c>
      <c r="T380">
        <v>0</v>
      </c>
      <c r="U380">
        <v>0</v>
      </c>
      <c r="V380">
        <v>0</v>
      </c>
      <c r="W380">
        <v>0</v>
      </c>
      <c r="X380">
        <v>0</v>
      </c>
      <c r="Y380">
        <v>0</v>
      </c>
      <c r="Z380">
        <v>0</v>
      </c>
      <c r="AA380">
        <v>0</v>
      </c>
      <c r="AB380">
        <v>0</v>
      </c>
      <c r="AC380">
        <v>0</v>
      </c>
      <c r="AD380">
        <v>0</v>
      </c>
      <c r="AE380">
        <v>0</v>
      </c>
      <c r="AF380">
        <v>0</v>
      </c>
      <c r="AG380">
        <v>0</v>
      </c>
      <c r="AH380">
        <v>0</v>
      </c>
      <c r="AI380">
        <v>0</v>
      </c>
      <c r="AJ380">
        <v>0</v>
      </c>
      <c r="AK380">
        <v>0</v>
      </c>
      <c r="AL380">
        <v>0</v>
      </c>
      <c r="AM380">
        <v>0</v>
      </c>
      <c r="AN380">
        <v>0</v>
      </c>
      <c r="AO380">
        <v>0</v>
      </c>
      <c r="AP380">
        <v>0</v>
      </c>
      <c r="AQ380">
        <v>18.03</v>
      </c>
      <c r="AR380">
        <v>0</v>
      </c>
      <c r="AS380">
        <v>0</v>
      </c>
      <c r="AT380">
        <v>0</v>
      </c>
      <c r="AU380">
        <v>0</v>
      </c>
      <c r="AV380">
        <v>0</v>
      </c>
      <c r="AW380">
        <v>0</v>
      </c>
      <c r="AX380">
        <v>0</v>
      </c>
      <c r="AY380">
        <v>0</v>
      </c>
      <c r="AZ380">
        <v>0</v>
      </c>
      <c r="BA380">
        <v>0</v>
      </c>
      <c r="BB380">
        <v>0</v>
      </c>
      <c r="BC380">
        <v>0</v>
      </c>
      <c r="BD380">
        <v>0</v>
      </c>
      <c r="BE380">
        <v>0</v>
      </c>
      <c r="BF380">
        <v>0</v>
      </c>
      <c r="BG380">
        <v>0</v>
      </c>
      <c r="BH380">
        <v>1</v>
      </c>
      <c r="BI380">
        <v>0.2</v>
      </c>
      <c r="BJ380">
        <v>1.8</v>
      </c>
      <c r="BK380">
        <v>2</v>
      </c>
      <c r="BL380">
        <v>55.99</v>
      </c>
      <c r="BM380">
        <v>8.4</v>
      </c>
      <c r="BN380">
        <v>64.39</v>
      </c>
      <c r="BO380">
        <v>64.39</v>
      </c>
      <c r="BQ380" t="s">
        <v>1081</v>
      </c>
      <c r="BR380" t="s">
        <v>84</v>
      </c>
      <c r="BS380" s="3">
        <v>45891</v>
      </c>
      <c r="BT380" s="4">
        <v>0.375</v>
      </c>
      <c r="BU380" t="s">
        <v>1273</v>
      </c>
      <c r="BV380" t="s">
        <v>86</v>
      </c>
      <c r="BY380">
        <v>8907.15</v>
      </c>
      <c r="BZ380" t="s">
        <v>102</v>
      </c>
      <c r="CA380" t="s">
        <v>692</v>
      </c>
      <c r="CC380" t="s">
        <v>127</v>
      </c>
      <c r="CD380">
        <v>7600</v>
      </c>
      <c r="CE380" t="s">
        <v>403</v>
      </c>
      <c r="CF380" s="3">
        <v>45894</v>
      </c>
      <c r="CI380">
        <v>1</v>
      </c>
      <c r="CJ380">
        <v>1</v>
      </c>
      <c r="CK380">
        <v>22</v>
      </c>
      <c r="CL380" t="s">
        <v>90</v>
      </c>
    </row>
    <row r="381" spans="1:90" x14ac:dyDescent="0.3">
      <c r="A381" t="s">
        <v>72</v>
      </c>
      <c r="B381" t="s">
        <v>73</v>
      </c>
      <c r="C381" t="s">
        <v>74</v>
      </c>
      <c r="E381" t="str">
        <f>"GAB2027995"</f>
        <v>GAB2027995</v>
      </c>
      <c r="F381" s="3">
        <v>45890</v>
      </c>
      <c r="G381">
        <v>202605</v>
      </c>
      <c r="H381" t="s">
        <v>75</v>
      </c>
      <c r="I381" t="s">
        <v>76</v>
      </c>
      <c r="J381" t="s">
        <v>77</v>
      </c>
      <c r="K381" t="s">
        <v>78</v>
      </c>
      <c r="L381" t="s">
        <v>126</v>
      </c>
      <c r="M381" t="s">
        <v>127</v>
      </c>
      <c r="N381" t="s">
        <v>814</v>
      </c>
      <c r="O381" t="s">
        <v>100</v>
      </c>
      <c r="P381" t="str">
        <f>"00120341 321 096761 740       "</f>
        <v xml:space="preserve">00120341 321 096761 740       </v>
      </c>
      <c r="Q381">
        <v>0</v>
      </c>
      <c r="R381">
        <v>0</v>
      </c>
      <c r="S381">
        <v>0</v>
      </c>
      <c r="T381">
        <v>0</v>
      </c>
      <c r="U381">
        <v>0</v>
      </c>
      <c r="V381">
        <v>0</v>
      </c>
      <c r="W381">
        <v>0</v>
      </c>
      <c r="X381">
        <v>0</v>
      </c>
      <c r="Y381">
        <v>0</v>
      </c>
      <c r="Z381">
        <v>0</v>
      </c>
      <c r="AA381">
        <v>0</v>
      </c>
      <c r="AB381">
        <v>0</v>
      </c>
      <c r="AC381">
        <v>0</v>
      </c>
      <c r="AD381">
        <v>0</v>
      </c>
      <c r="AE381">
        <v>0</v>
      </c>
      <c r="AF381">
        <v>0</v>
      </c>
      <c r="AG381">
        <v>0</v>
      </c>
      <c r="AH381">
        <v>0</v>
      </c>
      <c r="AI381">
        <v>0</v>
      </c>
      <c r="AJ381">
        <v>0</v>
      </c>
      <c r="AK381">
        <v>0</v>
      </c>
      <c r="AL381">
        <v>0</v>
      </c>
      <c r="AM381">
        <v>0</v>
      </c>
      <c r="AN381">
        <v>0</v>
      </c>
      <c r="AO381">
        <v>0</v>
      </c>
      <c r="AP381">
        <v>0</v>
      </c>
      <c r="AQ381">
        <v>18.03</v>
      </c>
      <c r="AR381">
        <v>0</v>
      </c>
      <c r="AS381">
        <v>0</v>
      </c>
      <c r="AT381">
        <v>0</v>
      </c>
      <c r="AU381">
        <v>0</v>
      </c>
      <c r="AV381">
        <v>0</v>
      </c>
      <c r="AW381">
        <v>0</v>
      </c>
      <c r="AX381">
        <v>0</v>
      </c>
      <c r="AY381">
        <v>0</v>
      </c>
      <c r="AZ381">
        <v>0</v>
      </c>
      <c r="BA381">
        <v>0</v>
      </c>
      <c r="BB381">
        <v>0</v>
      </c>
      <c r="BC381">
        <v>0</v>
      </c>
      <c r="BD381">
        <v>0</v>
      </c>
      <c r="BE381">
        <v>0</v>
      </c>
      <c r="BF381">
        <v>0</v>
      </c>
      <c r="BG381">
        <v>0</v>
      </c>
      <c r="BH381">
        <v>1</v>
      </c>
      <c r="BI381">
        <v>0.3</v>
      </c>
      <c r="BJ381">
        <v>2</v>
      </c>
      <c r="BK381">
        <v>2</v>
      </c>
      <c r="BL381">
        <v>55.99</v>
      </c>
      <c r="BM381">
        <v>8.4</v>
      </c>
      <c r="BN381">
        <v>64.39</v>
      </c>
      <c r="BO381">
        <v>64.39</v>
      </c>
      <c r="BQ381" t="s">
        <v>815</v>
      </c>
      <c r="BR381" t="s">
        <v>84</v>
      </c>
      <c r="BS381" s="3">
        <v>45891</v>
      </c>
      <c r="BT381" s="4">
        <v>0.37638888888888888</v>
      </c>
      <c r="BU381" t="s">
        <v>1274</v>
      </c>
      <c r="BV381" t="s">
        <v>86</v>
      </c>
      <c r="BY381">
        <v>9801</v>
      </c>
      <c r="BZ381" t="s">
        <v>102</v>
      </c>
      <c r="CA381" t="s">
        <v>692</v>
      </c>
      <c r="CC381" t="s">
        <v>127</v>
      </c>
      <c r="CD381">
        <v>7600</v>
      </c>
      <c r="CE381" t="s">
        <v>414</v>
      </c>
      <c r="CF381" s="3">
        <v>45894</v>
      </c>
      <c r="CI381">
        <v>1</v>
      </c>
      <c r="CJ381">
        <v>1</v>
      </c>
      <c r="CK381">
        <v>22</v>
      </c>
      <c r="CL381" t="s">
        <v>90</v>
      </c>
    </row>
    <row r="382" spans="1:90" x14ac:dyDescent="0.3">
      <c r="A382" t="s">
        <v>72</v>
      </c>
      <c r="B382" t="s">
        <v>73</v>
      </c>
      <c r="C382" t="s">
        <v>74</v>
      </c>
      <c r="E382" t="str">
        <f>"GAB2027996"</f>
        <v>GAB2027996</v>
      </c>
      <c r="F382" s="3">
        <v>45890</v>
      </c>
      <c r="G382">
        <v>202605</v>
      </c>
      <c r="H382" t="s">
        <v>75</v>
      </c>
      <c r="I382" t="s">
        <v>76</v>
      </c>
      <c r="J382" t="s">
        <v>77</v>
      </c>
      <c r="K382" t="s">
        <v>78</v>
      </c>
      <c r="L382" t="s">
        <v>908</v>
      </c>
      <c r="M382" t="s">
        <v>909</v>
      </c>
      <c r="N382" t="s">
        <v>1275</v>
      </c>
      <c r="O382" t="s">
        <v>100</v>
      </c>
      <c r="P382" t="str">
        <f>"00120345 096762               "</f>
        <v xml:space="preserve">00120345 096762               </v>
      </c>
      <c r="Q382">
        <v>0</v>
      </c>
      <c r="R382">
        <v>0</v>
      </c>
      <c r="S382">
        <v>0</v>
      </c>
      <c r="T382">
        <v>0</v>
      </c>
      <c r="U382">
        <v>0</v>
      </c>
      <c r="V382">
        <v>0</v>
      </c>
      <c r="W382">
        <v>0</v>
      </c>
      <c r="X382">
        <v>0</v>
      </c>
      <c r="Y382">
        <v>0</v>
      </c>
      <c r="Z382">
        <v>0</v>
      </c>
      <c r="AA382">
        <v>0</v>
      </c>
      <c r="AB382">
        <v>0</v>
      </c>
      <c r="AC382">
        <v>0</v>
      </c>
      <c r="AD382">
        <v>0</v>
      </c>
      <c r="AE382">
        <v>0</v>
      </c>
      <c r="AF382">
        <v>0</v>
      </c>
      <c r="AG382">
        <v>0</v>
      </c>
      <c r="AH382">
        <v>0</v>
      </c>
      <c r="AI382">
        <v>0</v>
      </c>
      <c r="AJ382">
        <v>0</v>
      </c>
      <c r="AK382">
        <v>0</v>
      </c>
      <c r="AL382">
        <v>0</v>
      </c>
      <c r="AM382">
        <v>0</v>
      </c>
      <c r="AN382">
        <v>0</v>
      </c>
      <c r="AO382">
        <v>0</v>
      </c>
      <c r="AP382">
        <v>0</v>
      </c>
      <c r="AQ382">
        <v>23.09</v>
      </c>
      <c r="AR382">
        <v>0</v>
      </c>
      <c r="AS382">
        <v>0</v>
      </c>
      <c r="AT382">
        <v>0</v>
      </c>
      <c r="AU382">
        <v>0</v>
      </c>
      <c r="AV382">
        <v>0</v>
      </c>
      <c r="AW382">
        <v>0</v>
      </c>
      <c r="AX382">
        <v>0</v>
      </c>
      <c r="AY382">
        <v>0</v>
      </c>
      <c r="AZ382">
        <v>0</v>
      </c>
      <c r="BA382">
        <v>0</v>
      </c>
      <c r="BB382">
        <v>0</v>
      </c>
      <c r="BC382">
        <v>0</v>
      </c>
      <c r="BD382">
        <v>0</v>
      </c>
      <c r="BE382">
        <v>0</v>
      </c>
      <c r="BF382">
        <v>0</v>
      </c>
      <c r="BG382">
        <v>0</v>
      </c>
      <c r="BH382">
        <v>1</v>
      </c>
      <c r="BI382">
        <v>0.5</v>
      </c>
      <c r="BJ382">
        <v>1.7</v>
      </c>
      <c r="BK382">
        <v>2</v>
      </c>
      <c r="BL382">
        <v>71.69</v>
      </c>
      <c r="BM382">
        <v>10.75</v>
      </c>
      <c r="BN382">
        <v>82.44</v>
      </c>
      <c r="BO382">
        <v>82.44</v>
      </c>
      <c r="BQ382" t="s">
        <v>1276</v>
      </c>
      <c r="BR382" t="s">
        <v>84</v>
      </c>
      <c r="BS382" s="3">
        <v>45891</v>
      </c>
      <c r="BT382" s="4">
        <v>0.36319444444444443</v>
      </c>
      <c r="BU382" t="s">
        <v>1277</v>
      </c>
      <c r="BV382" t="s">
        <v>86</v>
      </c>
      <c r="BY382">
        <v>8523.7999999999993</v>
      </c>
      <c r="BZ382" t="s">
        <v>102</v>
      </c>
      <c r="CA382" t="s">
        <v>778</v>
      </c>
      <c r="CC382" t="s">
        <v>909</v>
      </c>
      <c r="CD382">
        <v>1684</v>
      </c>
      <c r="CE382" t="s">
        <v>164</v>
      </c>
      <c r="CF382" s="3">
        <v>45894</v>
      </c>
      <c r="CI382">
        <v>1</v>
      </c>
      <c r="CJ382">
        <v>1</v>
      </c>
      <c r="CK382">
        <v>21</v>
      </c>
      <c r="CL382" t="s">
        <v>90</v>
      </c>
    </row>
    <row r="383" spans="1:90" x14ac:dyDescent="0.3">
      <c r="A383" t="s">
        <v>72</v>
      </c>
      <c r="B383" t="s">
        <v>73</v>
      </c>
      <c r="C383" t="s">
        <v>74</v>
      </c>
      <c r="E383" t="str">
        <f>"GAB2027997"</f>
        <v>GAB2027997</v>
      </c>
      <c r="F383" s="3">
        <v>45890</v>
      </c>
      <c r="G383">
        <v>202605</v>
      </c>
      <c r="H383" t="s">
        <v>75</v>
      </c>
      <c r="I383" t="s">
        <v>76</v>
      </c>
      <c r="J383" t="s">
        <v>77</v>
      </c>
      <c r="K383" t="s">
        <v>78</v>
      </c>
      <c r="L383" t="s">
        <v>79</v>
      </c>
      <c r="M383" t="s">
        <v>80</v>
      </c>
      <c r="N383" t="s">
        <v>1278</v>
      </c>
      <c r="O383" t="s">
        <v>100</v>
      </c>
      <c r="P383" t="str">
        <f>"00120346 096763               "</f>
        <v xml:space="preserve">00120346 096763               </v>
      </c>
      <c r="Q383">
        <v>0</v>
      </c>
      <c r="R383">
        <v>0</v>
      </c>
      <c r="S383">
        <v>0</v>
      </c>
      <c r="T383">
        <v>0</v>
      </c>
      <c r="U383">
        <v>0</v>
      </c>
      <c r="V383">
        <v>0</v>
      </c>
      <c r="W383">
        <v>0</v>
      </c>
      <c r="X383">
        <v>0</v>
      </c>
      <c r="Y383">
        <v>0</v>
      </c>
      <c r="Z383">
        <v>0</v>
      </c>
      <c r="AA383">
        <v>0</v>
      </c>
      <c r="AB383">
        <v>0</v>
      </c>
      <c r="AC383">
        <v>0</v>
      </c>
      <c r="AD383">
        <v>0</v>
      </c>
      <c r="AE383">
        <v>0</v>
      </c>
      <c r="AF383">
        <v>0</v>
      </c>
      <c r="AG383">
        <v>0</v>
      </c>
      <c r="AH383">
        <v>0</v>
      </c>
      <c r="AI383">
        <v>0</v>
      </c>
      <c r="AJ383">
        <v>0</v>
      </c>
      <c r="AK383">
        <v>0</v>
      </c>
      <c r="AL383">
        <v>0</v>
      </c>
      <c r="AM383">
        <v>0</v>
      </c>
      <c r="AN383">
        <v>0</v>
      </c>
      <c r="AO383">
        <v>0</v>
      </c>
      <c r="AP383">
        <v>0</v>
      </c>
      <c r="AQ383">
        <v>28.85</v>
      </c>
      <c r="AR383">
        <v>0</v>
      </c>
      <c r="AS383">
        <v>0</v>
      </c>
      <c r="AT383">
        <v>0</v>
      </c>
      <c r="AU383">
        <v>0</v>
      </c>
      <c r="AV383">
        <v>0</v>
      </c>
      <c r="AW383">
        <v>0</v>
      </c>
      <c r="AX383">
        <v>0</v>
      </c>
      <c r="AY383">
        <v>0</v>
      </c>
      <c r="AZ383">
        <v>0</v>
      </c>
      <c r="BA383">
        <v>0</v>
      </c>
      <c r="BB383">
        <v>0</v>
      </c>
      <c r="BC383">
        <v>0</v>
      </c>
      <c r="BD383">
        <v>0</v>
      </c>
      <c r="BE383">
        <v>0</v>
      </c>
      <c r="BF383">
        <v>0</v>
      </c>
      <c r="BG383">
        <v>0</v>
      </c>
      <c r="BH383">
        <v>1</v>
      </c>
      <c r="BI383">
        <v>0.3</v>
      </c>
      <c r="BJ383">
        <v>2.4</v>
      </c>
      <c r="BK383">
        <v>2.5</v>
      </c>
      <c r="BL383">
        <v>89.59</v>
      </c>
      <c r="BM383">
        <v>13.44</v>
      </c>
      <c r="BN383">
        <v>103.03</v>
      </c>
      <c r="BO383">
        <v>103.03</v>
      </c>
      <c r="BR383" t="s">
        <v>84</v>
      </c>
      <c r="BS383" s="3">
        <v>45891</v>
      </c>
      <c r="BT383" s="4">
        <v>0.41875000000000001</v>
      </c>
      <c r="BU383" t="s">
        <v>1279</v>
      </c>
      <c r="BV383" t="s">
        <v>86</v>
      </c>
      <c r="BY383">
        <v>11968</v>
      </c>
      <c r="BZ383" t="s">
        <v>102</v>
      </c>
      <c r="CA383" t="s">
        <v>1280</v>
      </c>
      <c r="CC383" t="s">
        <v>80</v>
      </c>
      <c r="CD383" s="5" t="s">
        <v>249</v>
      </c>
      <c r="CE383" t="s">
        <v>104</v>
      </c>
      <c r="CF383" s="3">
        <v>45891</v>
      </c>
      <c r="CI383">
        <v>1</v>
      </c>
      <c r="CJ383">
        <v>1</v>
      </c>
      <c r="CK383">
        <v>21</v>
      </c>
      <c r="CL383" t="s">
        <v>90</v>
      </c>
    </row>
    <row r="384" spans="1:90" x14ac:dyDescent="0.3">
      <c r="A384" t="s">
        <v>72</v>
      </c>
      <c r="B384" t="s">
        <v>73</v>
      </c>
      <c r="C384" t="s">
        <v>74</v>
      </c>
      <c r="E384" t="str">
        <f>"GAB2027998"</f>
        <v>GAB2027998</v>
      </c>
      <c r="F384" s="3">
        <v>45890</v>
      </c>
      <c r="G384">
        <v>202605</v>
      </c>
      <c r="H384" t="s">
        <v>75</v>
      </c>
      <c r="I384" t="s">
        <v>76</v>
      </c>
      <c r="J384" t="s">
        <v>77</v>
      </c>
      <c r="K384" t="s">
        <v>78</v>
      </c>
      <c r="L384" t="s">
        <v>159</v>
      </c>
      <c r="M384" t="s">
        <v>159</v>
      </c>
      <c r="N384" t="s">
        <v>160</v>
      </c>
      <c r="O384" t="s">
        <v>100</v>
      </c>
      <c r="P384" t="str">
        <f>"00120347 096764               "</f>
        <v xml:space="preserve">00120347 096764               </v>
      </c>
      <c r="Q384">
        <v>0</v>
      </c>
      <c r="R384">
        <v>0</v>
      </c>
      <c r="S384">
        <v>0</v>
      </c>
      <c r="T384">
        <v>0</v>
      </c>
      <c r="U384">
        <v>0</v>
      </c>
      <c r="V384">
        <v>0</v>
      </c>
      <c r="W384">
        <v>0</v>
      </c>
      <c r="X384">
        <v>0</v>
      </c>
      <c r="Y384">
        <v>0</v>
      </c>
      <c r="Z384">
        <v>0</v>
      </c>
      <c r="AA384">
        <v>0</v>
      </c>
      <c r="AB384">
        <v>0</v>
      </c>
      <c r="AC384">
        <v>0</v>
      </c>
      <c r="AD384">
        <v>0</v>
      </c>
      <c r="AE384">
        <v>0</v>
      </c>
      <c r="AF384">
        <v>0</v>
      </c>
      <c r="AG384">
        <v>0</v>
      </c>
      <c r="AH384">
        <v>0</v>
      </c>
      <c r="AI384">
        <v>0</v>
      </c>
      <c r="AJ384">
        <v>0</v>
      </c>
      <c r="AK384">
        <v>0</v>
      </c>
      <c r="AL384">
        <v>0</v>
      </c>
      <c r="AM384">
        <v>0</v>
      </c>
      <c r="AN384">
        <v>0</v>
      </c>
      <c r="AO384">
        <v>0</v>
      </c>
      <c r="AP384">
        <v>0</v>
      </c>
      <c r="AQ384">
        <v>40.369999999999997</v>
      </c>
      <c r="AR384">
        <v>0</v>
      </c>
      <c r="AS384">
        <v>0</v>
      </c>
      <c r="AT384">
        <v>0</v>
      </c>
      <c r="AU384">
        <v>0</v>
      </c>
      <c r="AV384">
        <v>0</v>
      </c>
      <c r="AW384">
        <v>0</v>
      </c>
      <c r="AX384">
        <v>0</v>
      </c>
      <c r="AY384">
        <v>0</v>
      </c>
      <c r="AZ384">
        <v>0</v>
      </c>
      <c r="BA384">
        <v>0</v>
      </c>
      <c r="BB384">
        <v>0</v>
      </c>
      <c r="BC384">
        <v>0</v>
      </c>
      <c r="BD384">
        <v>0</v>
      </c>
      <c r="BE384">
        <v>0</v>
      </c>
      <c r="BF384">
        <v>0</v>
      </c>
      <c r="BG384">
        <v>0</v>
      </c>
      <c r="BH384">
        <v>1</v>
      </c>
      <c r="BI384">
        <v>0.3</v>
      </c>
      <c r="BJ384">
        <v>2.2000000000000002</v>
      </c>
      <c r="BK384">
        <v>2.5</v>
      </c>
      <c r="BL384">
        <v>125.36</v>
      </c>
      <c r="BM384">
        <v>18.8</v>
      </c>
      <c r="BN384">
        <v>144.16</v>
      </c>
      <c r="BO384">
        <v>144.16</v>
      </c>
      <c r="BQ384" t="s">
        <v>161</v>
      </c>
      <c r="BR384" t="s">
        <v>84</v>
      </c>
      <c r="BS384" s="3">
        <v>45891</v>
      </c>
      <c r="BT384" s="4">
        <v>0.68055555555555558</v>
      </c>
      <c r="BU384" t="s">
        <v>1235</v>
      </c>
      <c r="BV384" t="s">
        <v>90</v>
      </c>
      <c r="BW384" t="s">
        <v>156</v>
      </c>
      <c r="BX384" t="s">
        <v>350</v>
      </c>
      <c r="BY384">
        <v>11169.34</v>
      </c>
      <c r="BZ384" t="s">
        <v>102</v>
      </c>
      <c r="CC384" t="s">
        <v>159</v>
      </c>
      <c r="CD384">
        <v>7646</v>
      </c>
      <c r="CE384" t="s">
        <v>104</v>
      </c>
      <c r="CF384" s="3">
        <v>45894</v>
      </c>
      <c r="CI384">
        <v>1</v>
      </c>
      <c r="CJ384">
        <v>1</v>
      </c>
      <c r="CK384">
        <v>24</v>
      </c>
      <c r="CL384" t="s">
        <v>90</v>
      </c>
    </row>
    <row r="385" spans="1:90" x14ac:dyDescent="0.3">
      <c r="A385" t="s">
        <v>72</v>
      </c>
      <c r="B385" t="s">
        <v>73</v>
      </c>
      <c r="C385" t="s">
        <v>74</v>
      </c>
      <c r="E385" t="str">
        <f>"GAB2027999"</f>
        <v>GAB2027999</v>
      </c>
      <c r="F385" s="3">
        <v>45890</v>
      </c>
      <c r="G385">
        <v>202605</v>
      </c>
      <c r="H385" t="s">
        <v>75</v>
      </c>
      <c r="I385" t="s">
        <v>76</v>
      </c>
      <c r="J385" t="s">
        <v>77</v>
      </c>
      <c r="K385" t="s">
        <v>78</v>
      </c>
      <c r="L385" t="s">
        <v>148</v>
      </c>
      <c r="M385" t="s">
        <v>149</v>
      </c>
      <c r="N385" t="s">
        <v>480</v>
      </c>
      <c r="O385" t="s">
        <v>100</v>
      </c>
      <c r="P385" t="str">
        <f>"00038736 035695               "</f>
        <v xml:space="preserve">00038736 035695               </v>
      </c>
      <c r="Q385">
        <v>0</v>
      </c>
      <c r="R385">
        <v>0</v>
      </c>
      <c r="S385">
        <v>0</v>
      </c>
      <c r="T385">
        <v>0</v>
      </c>
      <c r="U385">
        <v>0</v>
      </c>
      <c r="V385">
        <v>0</v>
      </c>
      <c r="W385">
        <v>0</v>
      </c>
      <c r="X385">
        <v>0</v>
      </c>
      <c r="Y385">
        <v>0</v>
      </c>
      <c r="Z385">
        <v>0</v>
      </c>
      <c r="AA385">
        <v>0</v>
      </c>
      <c r="AB385">
        <v>0</v>
      </c>
      <c r="AC385">
        <v>0</v>
      </c>
      <c r="AD385">
        <v>0</v>
      </c>
      <c r="AE385">
        <v>0</v>
      </c>
      <c r="AF385">
        <v>0</v>
      </c>
      <c r="AG385">
        <v>0</v>
      </c>
      <c r="AH385">
        <v>0</v>
      </c>
      <c r="AI385">
        <v>0</v>
      </c>
      <c r="AJ385">
        <v>0</v>
      </c>
      <c r="AK385">
        <v>0</v>
      </c>
      <c r="AL385">
        <v>0</v>
      </c>
      <c r="AM385">
        <v>0</v>
      </c>
      <c r="AN385">
        <v>0</v>
      </c>
      <c r="AO385">
        <v>0</v>
      </c>
      <c r="AP385">
        <v>0</v>
      </c>
      <c r="AQ385">
        <v>28.85</v>
      </c>
      <c r="AR385">
        <v>0</v>
      </c>
      <c r="AS385">
        <v>0</v>
      </c>
      <c r="AT385">
        <v>0</v>
      </c>
      <c r="AU385">
        <v>0</v>
      </c>
      <c r="AV385">
        <v>0</v>
      </c>
      <c r="AW385">
        <v>0</v>
      </c>
      <c r="AX385">
        <v>0</v>
      </c>
      <c r="AY385">
        <v>0</v>
      </c>
      <c r="AZ385">
        <v>0</v>
      </c>
      <c r="BA385">
        <v>0</v>
      </c>
      <c r="BB385">
        <v>0</v>
      </c>
      <c r="BC385">
        <v>0</v>
      </c>
      <c r="BD385">
        <v>0</v>
      </c>
      <c r="BE385">
        <v>0</v>
      </c>
      <c r="BF385">
        <v>0</v>
      </c>
      <c r="BG385">
        <v>0</v>
      </c>
      <c r="BH385">
        <v>1</v>
      </c>
      <c r="BI385">
        <v>0.2</v>
      </c>
      <c r="BJ385">
        <v>2.2000000000000002</v>
      </c>
      <c r="BK385">
        <v>2.5</v>
      </c>
      <c r="BL385">
        <v>89.59</v>
      </c>
      <c r="BM385">
        <v>13.44</v>
      </c>
      <c r="BN385">
        <v>103.03</v>
      </c>
      <c r="BO385">
        <v>103.03</v>
      </c>
      <c r="BQ385" t="s">
        <v>481</v>
      </c>
      <c r="BR385" t="s">
        <v>84</v>
      </c>
      <c r="BS385" s="3">
        <v>45891</v>
      </c>
      <c r="BT385" s="4">
        <v>0.4201388888888889</v>
      </c>
      <c r="BU385" t="s">
        <v>1251</v>
      </c>
      <c r="BV385" t="s">
        <v>86</v>
      </c>
      <c r="BY385">
        <v>10906.2</v>
      </c>
      <c r="BZ385" t="s">
        <v>102</v>
      </c>
      <c r="CA385" t="s">
        <v>1252</v>
      </c>
      <c r="CC385" t="s">
        <v>149</v>
      </c>
      <c r="CD385">
        <v>6001</v>
      </c>
      <c r="CE385" t="s">
        <v>297</v>
      </c>
      <c r="CF385" s="3">
        <v>45891</v>
      </c>
      <c r="CI385">
        <v>2</v>
      </c>
      <c r="CJ385">
        <v>1</v>
      </c>
      <c r="CK385">
        <v>21</v>
      </c>
      <c r="CL385" t="s">
        <v>90</v>
      </c>
    </row>
    <row r="386" spans="1:90" x14ac:dyDescent="0.3">
      <c r="A386" t="s">
        <v>72</v>
      </c>
      <c r="B386" t="s">
        <v>73</v>
      </c>
      <c r="C386" t="s">
        <v>74</v>
      </c>
      <c r="E386" t="str">
        <f>"GAB2028001"</f>
        <v>GAB2028001</v>
      </c>
      <c r="F386" s="3">
        <v>45890</v>
      </c>
      <c r="G386">
        <v>202605</v>
      </c>
      <c r="H386" t="s">
        <v>75</v>
      </c>
      <c r="I386" t="s">
        <v>76</v>
      </c>
      <c r="J386" t="s">
        <v>77</v>
      </c>
      <c r="K386" t="s">
        <v>78</v>
      </c>
      <c r="L386" t="s">
        <v>809</v>
      </c>
      <c r="M386" t="s">
        <v>810</v>
      </c>
      <c r="N386" t="s">
        <v>1281</v>
      </c>
      <c r="O386" t="s">
        <v>100</v>
      </c>
      <c r="P386" t="str">
        <f>"00038738 035708               "</f>
        <v xml:space="preserve">00038738 035708               </v>
      </c>
      <c r="Q386">
        <v>0</v>
      </c>
      <c r="R386">
        <v>0</v>
      </c>
      <c r="S386">
        <v>0</v>
      </c>
      <c r="T386">
        <v>0</v>
      </c>
      <c r="U386">
        <v>0</v>
      </c>
      <c r="V386">
        <v>0</v>
      </c>
      <c r="W386">
        <v>0</v>
      </c>
      <c r="X386">
        <v>0</v>
      </c>
      <c r="Y386">
        <v>0</v>
      </c>
      <c r="Z386">
        <v>0</v>
      </c>
      <c r="AA386">
        <v>0</v>
      </c>
      <c r="AB386">
        <v>0</v>
      </c>
      <c r="AC386">
        <v>0</v>
      </c>
      <c r="AD386">
        <v>0</v>
      </c>
      <c r="AE386">
        <v>0</v>
      </c>
      <c r="AF386">
        <v>0</v>
      </c>
      <c r="AG386">
        <v>0</v>
      </c>
      <c r="AH386">
        <v>0</v>
      </c>
      <c r="AI386">
        <v>0</v>
      </c>
      <c r="AJ386">
        <v>0</v>
      </c>
      <c r="AK386">
        <v>0</v>
      </c>
      <c r="AL386">
        <v>0</v>
      </c>
      <c r="AM386">
        <v>0</v>
      </c>
      <c r="AN386">
        <v>0</v>
      </c>
      <c r="AO386">
        <v>0</v>
      </c>
      <c r="AP386">
        <v>0</v>
      </c>
      <c r="AQ386">
        <v>44.73</v>
      </c>
      <c r="AR386">
        <v>0</v>
      </c>
      <c r="AS386">
        <v>0</v>
      </c>
      <c r="AT386">
        <v>0</v>
      </c>
      <c r="AU386">
        <v>0</v>
      </c>
      <c r="AV386">
        <v>0</v>
      </c>
      <c r="AW386">
        <v>0</v>
      </c>
      <c r="AX386">
        <v>0</v>
      </c>
      <c r="AY386">
        <v>0</v>
      </c>
      <c r="AZ386">
        <v>0</v>
      </c>
      <c r="BA386">
        <v>0</v>
      </c>
      <c r="BB386">
        <v>0</v>
      </c>
      <c r="BC386">
        <v>0</v>
      </c>
      <c r="BD386">
        <v>0</v>
      </c>
      <c r="BE386">
        <v>0</v>
      </c>
      <c r="BF386">
        <v>0</v>
      </c>
      <c r="BG386">
        <v>0</v>
      </c>
      <c r="BH386">
        <v>1</v>
      </c>
      <c r="BI386">
        <v>0.2</v>
      </c>
      <c r="BJ386">
        <v>2</v>
      </c>
      <c r="BK386">
        <v>2</v>
      </c>
      <c r="BL386">
        <v>138.88999999999999</v>
      </c>
      <c r="BM386">
        <v>20.83</v>
      </c>
      <c r="BN386">
        <v>159.72</v>
      </c>
      <c r="BO386">
        <v>159.72</v>
      </c>
      <c r="BQ386" t="s">
        <v>1282</v>
      </c>
      <c r="BR386" t="s">
        <v>84</v>
      </c>
      <c r="BS386" s="3">
        <v>45891</v>
      </c>
      <c r="BT386" s="4">
        <v>0.45</v>
      </c>
      <c r="BU386" t="s">
        <v>1283</v>
      </c>
      <c r="BV386" t="s">
        <v>86</v>
      </c>
      <c r="BY386">
        <v>9861.02</v>
      </c>
      <c r="BZ386" t="s">
        <v>102</v>
      </c>
      <c r="CA386" t="s">
        <v>1284</v>
      </c>
      <c r="CC386" t="s">
        <v>810</v>
      </c>
      <c r="CD386">
        <v>7380</v>
      </c>
      <c r="CE386" t="s">
        <v>297</v>
      </c>
      <c r="CF386" s="3">
        <v>45894</v>
      </c>
      <c r="CI386">
        <v>5</v>
      </c>
      <c r="CJ386">
        <v>1</v>
      </c>
      <c r="CK386">
        <v>23</v>
      </c>
      <c r="CL386" t="s">
        <v>90</v>
      </c>
    </row>
    <row r="387" spans="1:90" x14ac:dyDescent="0.3">
      <c r="A387" t="s">
        <v>72</v>
      </c>
      <c r="B387" t="s">
        <v>73</v>
      </c>
      <c r="C387" t="s">
        <v>74</v>
      </c>
      <c r="E387" t="str">
        <f>"GAB2028002"</f>
        <v>GAB2028002</v>
      </c>
      <c r="F387" s="3">
        <v>45890</v>
      </c>
      <c r="G387">
        <v>202605</v>
      </c>
      <c r="H387" t="s">
        <v>75</v>
      </c>
      <c r="I387" t="s">
        <v>76</v>
      </c>
      <c r="J387" t="s">
        <v>77</v>
      </c>
      <c r="K387" t="s">
        <v>78</v>
      </c>
      <c r="L387" t="s">
        <v>177</v>
      </c>
      <c r="M387" t="s">
        <v>178</v>
      </c>
      <c r="N387" t="s">
        <v>179</v>
      </c>
      <c r="O387" t="s">
        <v>100</v>
      </c>
      <c r="P387" t="str">
        <f>"00038735 035062               "</f>
        <v xml:space="preserve">00038735 035062               </v>
      </c>
      <c r="Q387">
        <v>0</v>
      </c>
      <c r="R387">
        <v>0</v>
      </c>
      <c r="S387">
        <v>0</v>
      </c>
      <c r="T387">
        <v>0</v>
      </c>
      <c r="U387">
        <v>0</v>
      </c>
      <c r="V387">
        <v>0</v>
      </c>
      <c r="W387">
        <v>0</v>
      </c>
      <c r="X387">
        <v>0</v>
      </c>
      <c r="Y387">
        <v>0</v>
      </c>
      <c r="Z387">
        <v>0</v>
      </c>
      <c r="AA387">
        <v>0</v>
      </c>
      <c r="AB387">
        <v>0</v>
      </c>
      <c r="AC387">
        <v>0</v>
      </c>
      <c r="AD387">
        <v>0</v>
      </c>
      <c r="AE387">
        <v>0</v>
      </c>
      <c r="AF387">
        <v>0</v>
      </c>
      <c r="AG387">
        <v>0</v>
      </c>
      <c r="AH387">
        <v>0</v>
      </c>
      <c r="AI387">
        <v>0</v>
      </c>
      <c r="AJ387">
        <v>0</v>
      </c>
      <c r="AK387">
        <v>0</v>
      </c>
      <c r="AL387">
        <v>0</v>
      </c>
      <c r="AM387">
        <v>0</v>
      </c>
      <c r="AN387">
        <v>0</v>
      </c>
      <c r="AO387">
        <v>0</v>
      </c>
      <c r="AP387">
        <v>0</v>
      </c>
      <c r="AQ387">
        <v>266.89</v>
      </c>
      <c r="AR387">
        <v>0</v>
      </c>
      <c r="AS387">
        <v>0</v>
      </c>
      <c r="AT387">
        <v>0</v>
      </c>
      <c r="AU387">
        <v>0</v>
      </c>
      <c r="AV387">
        <v>0</v>
      </c>
      <c r="AW387">
        <v>0</v>
      </c>
      <c r="AX387">
        <v>0</v>
      </c>
      <c r="AY387">
        <v>0</v>
      </c>
      <c r="AZ387">
        <v>0</v>
      </c>
      <c r="BA387">
        <v>0</v>
      </c>
      <c r="BB387">
        <v>0</v>
      </c>
      <c r="BC387">
        <v>0</v>
      </c>
      <c r="BD387">
        <v>0</v>
      </c>
      <c r="BE387">
        <v>0</v>
      </c>
      <c r="BF387">
        <v>0</v>
      </c>
      <c r="BG387">
        <v>0</v>
      </c>
      <c r="BH387">
        <v>1</v>
      </c>
      <c r="BI387">
        <v>5.3</v>
      </c>
      <c r="BJ387">
        <v>12.9</v>
      </c>
      <c r="BK387">
        <v>13</v>
      </c>
      <c r="BL387">
        <v>828.77</v>
      </c>
      <c r="BM387">
        <v>124.32</v>
      </c>
      <c r="BN387">
        <v>953.09</v>
      </c>
      <c r="BO387">
        <v>953.09</v>
      </c>
      <c r="BQ387" t="s">
        <v>168</v>
      </c>
      <c r="BR387" t="s">
        <v>84</v>
      </c>
      <c r="BS387" s="3">
        <v>45895</v>
      </c>
      <c r="BT387" s="4">
        <v>0.60416666666666663</v>
      </c>
      <c r="BU387" t="s">
        <v>1285</v>
      </c>
      <c r="BV387" t="s">
        <v>90</v>
      </c>
      <c r="BW387" t="s">
        <v>156</v>
      </c>
      <c r="BX387" t="s">
        <v>1286</v>
      </c>
      <c r="BY387">
        <v>64693.2</v>
      </c>
      <c r="BZ387" t="s">
        <v>102</v>
      </c>
      <c r="CC387" t="s">
        <v>178</v>
      </c>
      <c r="CD387">
        <v>1050</v>
      </c>
      <c r="CE387" t="s">
        <v>1287</v>
      </c>
      <c r="CF387" s="3">
        <v>45896</v>
      </c>
      <c r="CI387">
        <v>1</v>
      </c>
      <c r="CJ387">
        <v>3</v>
      </c>
      <c r="CK387">
        <v>23</v>
      </c>
      <c r="CL387" t="s">
        <v>90</v>
      </c>
    </row>
    <row r="388" spans="1:90" x14ac:dyDescent="0.3">
      <c r="A388" t="s">
        <v>72</v>
      </c>
      <c r="B388" t="s">
        <v>73</v>
      </c>
      <c r="C388" t="s">
        <v>74</v>
      </c>
      <c r="E388" t="str">
        <f>"009945156784"</f>
        <v>009945156784</v>
      </c>
      <c r="F388" s="3">
        <v>45890</v>
      </c>
      <c r="G388">
        <v>202605</v>
      </c>
      <c r="H388" t="s">
        <v>79</v>
      </c>
      <c r="I388" t="s">
        <v>80</v>
      </c>
      <c r="J388" t="s">
        <v>257</v>
      </c>
      <c r="K388" t="s">
        <v>78</v>
      </c>
      <c r="L388" t="s">
        <v>75</v>
      </c>
      <c r="M388" t="s">
        <v>76</v>
      </c>
      <c r="N388" t="s">
        <v>607</v>
      </c>
      <c r="O388" t="s">
        <v>82</v>
      </c>
      <c r="P388" t="str">
        <f>"NO REF                        "</f>
        <v xml:space="preserve">NO REF                        </v>
      </c>
      <c r="Q388">
        <v>0</v>
      </c>
      <c r="R388">
        <v>0</v>
      </c>
      <c r="S388">
        <v>0</v>
      </c>
      <c r="T388">
        <v>0</v>
      </c>
      <c r="U388">
        <v>0</v>
      </c>
      <c r="V388">
        <v>0</v>
      </c>
      <c r="W388">
        <v>0</v>
      </c>
      <c r="X388">
        <v>0</v>
      </c>
      <c r="Y388">
        <v>0</v>
      </c>
      <c r="Z388">
        <v>0</v>
      </c>
      <c r="AA388">
        <v>0</v>
      </c>
      <c r="AB388">
        <v>0</v>
      </c>
      <c r="AC388">
        <v>0</v>
      </c>
      <c r="AD388">
        <v>0</v>
      </c>
      <c r="AE388">
        <v>0</v>
      </c>
      <c r="AF388">
        <v>0</v>
      </c>
      <c r="AG388">
        <v>5.87</v>
      </c>
      <c r="AH388">
        <v>0</v>
      </c>
      <c r="AI388">
        <v>0</v>
      </c>
      <c r="AJ388">
        <v>0</v>
      </c>
      <c r="AK388">
        <v>0</v>
      </c>
      <c r="AL388">
        <v>0</v>
      </c>
      <c r="AM388">
        <v>0</v>
      </c>
      <c r="AN388">
        <v>0</v>
      </c>
      <c r="AO388">
        <v>0</v>
      </c>
      <c r="AP388">
        <v>0</v>
      </c>
      <c r="AQ388">
        <v>55.7</v>
      </c>
      <c r="AR388">
        <v>0</v>
      </c>
      <c r="AS388">
        <v>0</v>
      </c>
      <c r="AT388">
        <v>0</v>
      </c>
      <c r="AU388">
        <v>0</v>
      </c>
      <c r="AV388">
        <v>0</v>
      </c>
      <c r="AW388">
        <v>0</v>
      </c>
      <c r="AX388">
        <v>0</v>
      </c>
      <c r="AY388">
        <v>0</v>
      </c>
      <c r="AZ388">
        <v>0</v>
      </c>
      <c r="BA388">
        <v>0</v>
      </c>
      <c r="BB388">
        <v>0</v>
      </c>
      <c r="BC388">
        <v>0</v>
      </c>
      <c r="BD388">
        <v>0</v>
      </c>
      <c r="BE388">
        <v>0</v>
      </c>
      <c r="BF388">
        <v>0</v>
      </c>
      <c r="BG388">
        <v>0</v>
      </c>
      <c r="BH388">
        <v>3</v>
      </c>
      <c r="BI388">
        <v>19.5</v>
      </c>
      <c r="BJ388">
        <v>20.399999999999999</v>
      </c>
      <c r="BK388">
        <v>21</v>
      </c>
      <c r="BL388">
        <v>178.83</v>
      </c>
      <c r="BM388">
        <v>26.82</v>
      </c>
      <c r="BN388">
        <v>205.65</v>
      </c>
      <c r="BO388">
        <v>205.65</v>
      </c>
      <c r="BQ388" t="s">
        <v>1288</v>
      </c>
      <c r="BR388" t="s">
        <v>608</v>
      </c>
      <c r="BS388" s="3">
        <v>45896</v>
      </c>
      <c r="BT388" s="4">
        <v>0.54305555555555551</v>
      </c>
      <c r="BU388" t="s">
        <v>349</v>
      </c>
      <c r="BV388" t="s">
        <v>90</v>
      </c>
      <c r="BY388">
        <v>71190</v>
      </c>
      <c r="BZ388" t="s">
        <v>606</v>
      </c>
      <c r="CA388" t="s">
        <v>351</v>
      </c>
      <c r="CC388" t="s">
        <v>76</v>
      </c>
      <c r="CD388">
        <v>7460</v>
      </c>
      <c r="CE388" t="s">
        <v>355</v>
      </c>
      <c r="CF388" s="3">
        <v>45897</v>
      </c>
      <c r="CI388">
        <v>3</v>
      </c>
      <c r="CJ388">
        <v>4</v>
      </c>
      <c r="CK388">
        <v>41</v>
      </c>
      <c r="CL388" t="s">
        <v>90</v>
      </c>
    </row>
    <row r="389" spans="1:90" x14ac:dyDescent="0.3">
      <c r="A389" t="s">
        <v>72</v>
      </c>
      <c r="B389" t="s">
        <v>73</v>
      </c>
      <c r="C389" t="s">
        <v>74</v>
      </c>
      <c r="E389" t="str">
        <f>"GAB2027991"</f>
        <v>GAB2027991</v>
      </c>
      <c r="F389" s="3">
        <v>45890</v>
      </c>
      <c r="G389">
        <v>202605</v>
      </c>
      <c r="H389" t="s">
        <v>75</v>
      </c>
      <c r="I389" t="s">
        <v>76</v>
      </c>
      <c r="J389" t="s">
        <v>77</v>
      </c>
      <c r="K389" t="s">
        <v>78</v>
      </c>
      <c r="L389" t="s">
        <v>190</v>
      </c>
      <c r="M389" t="s">
        <v>191</v>
      </c>
      <c r="N389" t="s">
        <v>192</v>
      </c>
      <c r="O389" t="s">
        <v>82</v>
      </c>
      <c r="P389" t="str">
        <f>"00120340 096742               "</f>
        <v xml:space="preserve">00120340 096742               </v>
      </c>
      <c r="Q389">
        <v>0</v>
      </c>
      <c r="R389">
        <v>0</v>
      </c>
      <c r="S389">
        <v>0</v>
      </c>
      <c r="T389">
        <v>0</v>
      </c>
      <c r="U389">
        <v>0</v>
      </c>
      <c r="V389">
        <v>0</v>
      </c>
      <c r="W389">
        <v>0</v>
      </c>
      <c r="X389">
        <v>0</v>
      </c>
      <c r="Y389">
        <v>0</v>
      </c>
      <c r="Z389">
        <v>0</v>
      </c>
      <c r="AA389">
        <v>0</v>
      </c>
      <c r="AB389">
        <v>0</v>
      </c>
      <c r="AC389">
        <v>0</v>
      </c>
      <c r="AD389">
        <v>0</v>
      </c>
      <c r="AE389">
        <v>0</v>
      </c>
      <c r="AF389">
        <v>0</v>
      </c>
      <c r="AG389">
        <v>5.87</v>
      </c>
      <c r="AH389">
        <v>0</v>
      </c>
      <c r="AI389">
        <v>0</v>
      </c>
      <c r="AJ389">
        <v>0</v>
      </c>
      <c r="AK389">
        <v>0</v>
      </c>
      <c r="AL389">
        <v>0</v>
      </c>
      <c r="AM389">
        <v>0</v>
      </c>
      <c r="AN389">
        <v>0</v>
      </c>
      <c r="AO389">
        <v>0</v>
      </c>
      <c r="AP389">
        <v>0</v>
      </c>
      <c r="AQ389">
        <v>98.09</v>
      </c>
      <c r="AR389">
        <v>0</v>
      </c>
      <c r="AS389">
        <v>0</v>
      </c>
      <c r="AT389">
        <v>0</v>
      </c>
      <c r="AU389">
        <v>0</v>
      </c>
      <c r="AV389">
        <v>0</v>
      </c>
      <c r="AW389">
        <v>0</v>
      </c>
      <c r="AX389">
        <v>0</v>
      </c>
      <c r="AY389">
        <v>0</v>
      </c>
      <c r="AZ389">
        <v>0</v>
      </c>
      <c r="BA389">
        <v>0</v>
      </c>
      <c r="BB389">
        <v>0</v>
      </c>
      <c r="BC389">
        <v>0</v>
      </c>
      <c r="BD389">
        <v>0</v>
      </c>
      <c r="BE389">
        <v>0</v>
      </c>
      <c r="BF389">
        <v>0</v>
      </c>
      <c r="BG389">
        <v>0</v>
      </c>
      <c r="BH389">
        <v>3</v>
      </c>
      <c r="BI389">
        <v>16.7</v>
      </c>
      <c r="BJ389">
        <v>43.7</v>
      </c>
      <c r="BK389">
        <v>44</v>
      </c>
      <c r="BL389">
        <v>310.45999999999998</v>
      </c>
      <c r="BM389">
        <v>46.57</v>
      </c>
      <c r="BN389">
        <v>357.03</v>
      </c>
      <c r="BO389">
        <v>357.03</v>
      </c>
      <c r="BQ389" t="s">
        <v>1289</v>
      </c>
      <c r="BR389" t="s">
        <v>84</v>
      </c>
      <c r="BS389" s="3">
        <v>45894</v>
      </c>
      <c r="BT389" s="4">
        <v>0.33888888888888891</v>
      </c>
      <c r="BU389" t="s">
        <v>194</v>
      </c>
      <c r="BV389" t="s">
        <v>86</v>
      </c>
      <c r="BY389">
        <v>218451.39</v>
      </c>
      <c r="CA389" t="s">
        <v>195</v>
      </c>
      <c r="CC389" t="s">
        <v>191</v>
      </c>
      <c r="CD389" s="5" t="s">
        <v>196</v>
      </c>
      <c r="CE389" t="s">
        <v>352</v>
      </c>
      <c r="CF389" s="3">
        <v>45894</v>
      </c>
      <c r="CI389">
        <v>3</v>
      </c>
      <c r="CJ389">
        <v>2</v>
      </c>
      <c r="CK389">
        <v>41</v>
      </c>
      <c r="CL389" t="s">
        <v>90</v>
      </c>
    </row>
    <row r="390" spans="1:90" x14ac:dyDescent="0.3">
      <c r="A390" t="s">
        <v>72</v>
      </c>
      <c r="B390" t="s">
        <v>73</v>
      </c>
      <c r="C390" t="s">
        <v>74</v>
      </c>
      <c r="E390" t="str">
        <f>"GAB2027992"</f>
        <v>GAB2027992</v>
      </c>
      <c r="F390" s="3">
        <v>45890</v>
      </c>
      <c r="G390">
        <v>202605</v>
      </c>
      <c r="H390" t="s">
        <v>75</v>
      </c>
      <c r="I390" t="s">
        <v>76</v>
      </c>
      <c r="J390" t="s">
        <v>77</v>
      </c>
      <c r="K390" t="s">
        <v>78</v>
      </c>
      <c r="L390" t="s">
        <v>1290</v>
      </c>
      <c r="M390" t="s">
        <v>1291</v>
      </c>
      <c r="N390" t="s">
        <v>1292</v>
      </c>
      <c r="O390" t="s">
        <v>82</v>
      </c>
      <c r="P390" t="str">
        <f>"00038727 035702               "</f>
        <v xml:space="preserve">00038727 035702               </v>
      </c>
      <c r="Q390">
        <v>0</v>
      </c>
      <c r="R390">
        <v>0</v>
      </c>
      <c r="S390">
        <v>0</v>
      </c>
      <c r="T390">
        <v>0</v>
      </c>
      <c r="U390">
        <v>0</v>
      </c>
      <c r="V390">
        <v>0</v>
      </c>
      <c r="W390">
        <v>0</v>
      </c>
      <c r="X390">
        <v>0</v>
      </c>
      <c r="Y390">
        <v>0</v>
      </c>
      <c r="Z390">
        <v>0</v>
      </c>
      <c r="AA390">
        <v>0</v>
      </c>
      <c r="AB390">
        <v>0</v>
      </c>
      <c r="AC390">
        <v>0</v>
      </c>
      <c r="AD390">
        <v>0</v>
      </c>
      <c r="AE390">
        <v>0</v>
      </c>
      <c r="AF390">
        <v>0</v>
      </c>
      <c r="AG390">
        <v>5.87</v>
      </c>
      <c r="AH390">
        <v>0</v>
      </c>
      <c r="AI390">
        <v>0</v>
      </c>
      <c r="AJ390">
        <v>0</v>
      </c>
      <c r="AK390">
        <v>0</v>
      </c>
      <c r="AL390">
        <v>0</v>
      </c>
      <c r="AM390">
        <v>0</v>
      </c>
      <c r="AN390">
        <v>0</v>
      </c>
      <c r="AO390">
        <v>0</v>
      </c>
      <c r="AP390">
        <v>0</v>
      </c>
      <c r="AQ390">
        <v>62.96</v>
      </c>
      <c r="AR390">
        <v>0</v>
      </c>
      <c r="AS390">
        <v>0</v>
      </c>
      <c r="AT390">
        <v>0</v>
      </c>
      <c r="AU390">
        <v>0</v>
      </c>
      <c r="AV390">
        <v>0</v>
      </c>
      <c r="AW390">
        <v>0</v>
      </c>
      <c r="AX390">
        <v>0</v>
      </c>
      <c r="AY390">
        <v>0</v>
      </c>
      <c r="AZ390">
        <v>0</v>
      </c>
      <c r="BA390">
        <v>0</v>
      </c>
      <c r="BB390">
        <v>0</v>
      </c>
      <c r="BC390">
        <v>0</v>
      </c>
      <c r="BD390">
        <v>0</v>
      </c>
      <c r="BE390">
        <v>0</v>
      </c>
      <c r="BF390">
        <v>0</v>
      </c>
      <c r="BG390">
        <v>0</v>
      </c>
      <c r="BH390">
        <v>1</v>
      </c>
      <c r="BI390">
        <v>6.6</v>
      </c>
      <c r="BJ390">
        <v>12.7</v>
      </c>
      <c r="BK390">
        <v>13</v>
      </c>
      <c r="BL390">
        <v>201.38</v>
      </c>
      <c r="BM390">
        <v>30.21</v>
      </c>
      <c r="BN390">
        <v>231.59</v>
      </c>
      <c r="BO390">
        <v>231.59</v>
      </c>
      <c r="BQ390" t="s">
        <v>780</v>
      </c>
      <c r="BR390" t="s">
        <v>84</v>
      </c>
      <c r="BS390" s="3">
        <v>45894</v>
      </c>
      <c r="BT390" s="4">
        <v>0.62152777777777779</v>
      </c>
      <c r="BU390" t="s">
        <v>1293</v>
      </c>
      <c r="BV390" t="s">
        <v>86</v>
      </c>
      <c r="BY390">
        <v>63736.2</v>
      </c>
      <c r="CA390" t="s">
        <v>1294</v>
      </c>
      <c r="CC390" t="s">
        <v>1291</v>
      </c>
      <c r="CD390" s="5" t="s">
        <v>1295</v>
      </c>
      <c r="CE390" t="s">
        <v>352</v>
      </c>
      <c r="CF390" s="3">
        <v>45895</v>
      </c>
      <c r="CI390">
        <v>2</v>
      </c>
      <c r="CJ390">
        <v>2</v>
      </c>
      <c r="CK390">
        <v>43</v>
      </c>
      <c r="CL390" t="s">
        <v>90</v>
      </c>
    </row>
    <row r="391" spans="1:90" x14ac:dyDescent="0.3">
      <c r="A391" t="s">
        <v>72</v>
      </c>
      <c r="B391" t="s">
        <v>73</v>
      </c>
      <c r="C391" t="s">
        <v>74</v>
      </c>
      <c r="E391" t="str">
        <f>"GAB2027993"</f>
        <v>GAB2027993</v>
      </c>
      <c r="F391" s="3">
        <v>45890</v>
      </c>
      <c r="G391">
        <v>202605</v>
      </c>
      <c r="H391" t="s">
        <v>75</v>
      </c>
      <c r="I391" t="s">
        <v>76</v>
      </c>
      <c r="J391" t="s">
        <v>77</v>
      </c>
      <c r="K391" t="s">
        <v>78</v>
      </c>
      <c r="L391" t="s">
        <v>1296</v>
      </c>
      <c r="M391" t="s">
        <v>1297</v>
      </c>
      <c r="N391" t="s">
        <v>1298</v>
      </c>
      <c r="O391" t="s">
        <v>82</v>
      </c>
      <c r="P391" t="str">
        <f>"00120329 330 331 333 336 337 3"</f>
        <v>00120329 330 331 333 336 337 3</v>
      </c>
      <c r="Q391">
        <v>0</v>
      </c>
      <c r="R391">
        <v>0</v>
      </c>
      <c r="S391">
        <v>0</v>
      </c>
      <c r="T391">
        <v>0</v>
      </c>
      <c r="U391">
        <v>0</v>
      </c>
      <c r="V391">
        <v>0</v>
      </c>
      <c r="W391">
        <v>0</v>
      </c>
      <c r="X391">
        <v>0</v>
      </c>
      <c r="Y391">
        <v>0</v>
      </c>
      <c r="Z391">
        <v>0</v>
      </c>
      <c r="AA391">
        <v>0</v>
      </c>
      <c r="AB391">
        <v>0</v>
      </c>
      <c r="AC391">
        <v>0</v>
      </c>
      <c r="AD391">
        <v>0</v>
      </c>
      <c r="AE391">
        <v>0</v>
      </c>
      <c r="AF391">
        <v>0</v>
      </c>
      <c r="AG391">
        <v>5.87</v>
      </c>
      <c r="AH391">
        <v>0</v>
      </c>
      <c r="AI391">
        <v>0</v>
      </c>
      <c r="AJ391">
        <v>0</v>
      </c>
      <c r="AK391">
        <v>0</v>
      </c>
      <c r="AL391">
        <v>0</v>
      </c>
      <c r="AM391">
        <v>0</v>
      </c>
      <c r="AN391">
        <v>0</v>
      </c>
      <c r="AO391">
        <v>0</v>
      </c>
      <c r="AP391">
        <v>0</v>
      </c>
      <c r="AQ391">
        <v>75.819999999999993</v>
      </c>
      <c r="AR391">
        <v>0</v>
      </c>
      <c r="AS391">
        <v>0</v>
      </c>
      <c r="AT391">
        <v>0</v>
      </c>
      <c r="AU391">
        <v>0</v>
      </c>
      <c r="AV391">
        <v>0</v>
      </c>
      <c r="AW391">
        <v>0</v>
      </c>
      <c r="AX391">
        <v>0</v>
      </c>
      <c r="AY391">
        <v>0</v>
      </c>
      <c r="AZ391">
        <v>0</v>
      </c>
      <c r="BA391">
        <v>0</v>
      </c>
      <c r="BB391">
        <v>0</v>
      </c>
      <c r="BC391">
        <v>0</v>
      </c>
      <c r="BD391">
        <v>0</v>
      </c>
      <c r="BE391">
        <v>0</v>
      </c>
      <c r="BF391">
        <v>0</v>
      </c>
      <c r="BG391">
        <v>0</v>
      </c>
      <c r="BH391">
        <v>2</v>
      </c>
      <c r="BI391">
        <v>8.1999999999999993</v>
      </c>
      <c r="BJ391">
        <v>18.3</v>
      </c>
      <c r="BK391">
        <v>19</v>
      </c>
      <c r="BL391">
        <v>241.32</v>
      </c>
      <c r="BM391">
        <v>36.200000000000003</v>
      </c>
      <c r="BN391">
        <v>277.52</v>
      </c>
      <c r="BO391">
        <v>277.52</v>
      </c>
      <c r="BQ391" t="s">
        <v>1299</v>
      </c>
      <c r="BR391" t="s">
        <v>84</v>
      </c>
      <c r="BS391" s="3">
        <v>45895</v>
      </c>
      <c r="BT391" s="4">
        <v>0.41666666666666669</v>
      </c>
      <c r="BU391" t="s">
        <v>1300</v>
      </c>
      <c r="BV391" t="s">
        <v>86</v>
      </c>
      <c r="BY391">
        <v>91674.1</v>
      </c>
      <c r="CA391" t="s">
        <v>1301</v>
      </c>
      <c r="CC391" t="s">
        <v>1297</v>
      </c>
      <c r="CD391">
        <v>9866</v>
      </c>
      <c r="CE391" t="s">
        <v>352</v>
      </c>
      <c r="CF391" s="3">
        <v>45896</v>
      </c>
      <c r="CI391">
        <v>4</v>
      </c>
      <c r="CJ391">
        <v>3</v>
      </c>
      <c r="CK391">
        <v>43</v>
      </c>
      <c r="CL391" t="s">
        <v>90</v>
      </c>
    </row>
    <row r="392" spans="1:90" x14ac:dyDescent="0.3">
      <c r="A392" t="s">
        <v>72</v>
      </c>
      <c r="B392" t="s">
        <v>73</v>
      </c>
      <c r="C392" t="s">
        <v>74</v>
      </c>
      <c r="E392" t="str">
        <f>"GAB2027994"</f>
        <v>GAB2027994</v>
      </c>
      <c r="F392" s="3">
        <v>45890</v>
      </c>
      <c r="G392">
        <v>202605</v>
      </c>
      <c r="H392" t="s">
        <v>75</v>
      </c>
      <c r="I392" t="s">
        <v>76</v>
      </c>
      <c r="J392" t="s">
        <v>77</v>
      </c>
      <c r="K392" t="s">
        <v>78</v>
      </c>
      <c r="L392" t="s">
        <v>345</v>
      </c>
      <c r="M392" t="s">
        <v>346</v>
      </c>
      <c r="N392" t="s">
        <v>1302</v>
      </c>
      <c r="O392" t="s">
        <v>82</v>
      </c>
      <c r="P392" t="str">
        <f>"00120332 334 335 096756 757 75"</f>
        <v>00120332 334 335 096756 757 75</v>
      </c>
      <c r="Q392">
        <v>0</v>
      </c>
      <c r="R392">
        <v>0</v>
      </c>
      <c r="S392">
        <v>0</v>
      </c>
      <c r="T392">
        <v>0</v>
      </c>
      <c r="U392">
        <v>0</v>
      </c>
      <c r="V392">
        <v>0</v>
      </c>
      <c r="W392">
        <v>0</v>
      </c>
      <c r="X392">
        <v>0</v>
      </c>
      <c r="Y392">
        <v>0</v>
      </c>
      <c r="Z392">
        <v>0</v>
      </c>
      <c r="AA392">
        <v>0</v>
      </c>
      <c r="AB392">
        <v>0</v>
      </c>
      <c r="AC392">
        <v>0</v>
      </c>
      <c r="AD392">
        <v>0</v>
      </c>
      <c r="AE392">
        <v>0</v>
      </c>
      <c r="AF392">
        <v>0</v>
      </c>
      <c r="AG392">
        <v>5.87</v>
      </c>
      <c r="AH392">
        <v>0</v>
      </c>
      <c r="AI392">
        <v>0</v>
      </c>
      <c r="AJ392">
        <v>0</v>
      </c>
      <c r="AK392">
        <v>0</v>
      </c>
      <c r="AL392">
        <v>0</v>
      </c>
      <c r="AM392">
        <v>0</v>
      </c>
      <c r="AN392">
        <v>0</v>
      </c>
      <c r="AO392">
        <v>0</v>
      </c>
      <c r="AP392">
        <v>0</v>
      </c>
      <c r="AQ392">
        <v>44.64</v>
      </c>
      <c r="AR392">
        <v>0</v>
      </c>
      <c r="AS392">
        <v>0</v>
      </c>
      <c r="AT392">
        <v>0</v>
      </c>
      <c r="AU392">
        <v>0</v>
      </c>
      <c r="AV392">
        <v>0</v>
      </c>
      <c r="AW392">
        <v>0</v>
      </c>
      <c r="AX392">
        <v>0</v>
      </c>
      <c r="AY392">
        <v>0</v>
      </c>
      <c r="AZ392">
        <v>0</v>
      </c>
      <c r="BA392">
        <v>0</v>
      </c>
      <c r="BB392">
        <v>0</v>
      </c>
      <c r="BC392">
        <v>0</v>
      </c>
      <c r="BD392">
        <v>0</v>
      </c>
      <c r="BE392">
        <v>0</v>
      </c>
      <c r="BF392">
        <v>0</v>
      </c>
      <c r="BG392">
        <v>0</v>
      </c>
      <c r="BH392">
        <v>1</v>
      </c>
      <c r="BI392">
        <v>4</v>
      </c>
      <c r="BJ392">
        <v>13.7</v>
      </c>
      <c r="BK392">
        <v>14</v>
      </c>
      <c r="BL392">
        <v>144.49</v>
      </c>
      <c r="BM392">
        <v>21.67</v>
      </c>
      <c r="BN392">
        <v>166.16</v>
      </c>
      <c r="BO392">
        <v>166.16</v>
      </c>
      <c r="BQ392" t="s">
        <v>1303</v>
      </c>
      <c r="BR392" t="s">
        <v>84</v>
      </c>
      <c r="BS392" s="3">
        <v>45894</v>
      </c>
      <c r="BT392" s="4">
        <v>0.37916666666666665</v>
      </c>
      <c r="BU392" t="s">
        <v>1304</v>
      </c>
      <c r="BV392" t="s">
        <v>86</v>
      </c>
      <c r="BY392">
        <v>68532.75</v>
      </c>
      <c r="CA392" t="s">
        <v>1305</v>
      </c>
      <c r="CC392" t="s">
        <v>346</v>
      </c>
      <c r="CD392">
        <v>9301</v>
      </c>
      <c r="CE392" t="s">
        <v>361</v>
      </c>
      <c r="CF392" s="3">
        <v>45895</v>
      </c>
      <c r="CI392">
        <v>4</v>
      </c>
      <c r="CJ392">
        <v>2</v>
      </c>
      <c r="CK392">
        <v>41</v>
      </c>
      <c r="CL392" t="s">
        <v>90</v>
      </c>
    </row>
    <row r="393" spans="1:90" x14ac:dyDescent="0.3">
      <c r="A393" t="s">
        <v>72</v>
      </c>
      <c r="B393" t="s">
        <v>73</v>
      </c>
      <c r="C393" t="s">
        <v>74</v>
      </c>
      <c r="E393" t="str">
        <f>"GAB2027909"</f>
        <v>GAB2027909</v>
      </c>
      <c r="F393" s="3">
        <v>45884</v>
      </c>
      <c r="G393">
        <v>202605</v>
      </c>
      <c r="H393" t="s">
        <v>75</v>
      </c>
      <c r="I393" t="s">
        <v>76</v>
      </c>
      <c r="J393" t="s">
        <v>257</v>
      </c>
      <c r="K393" t="s">
        <v>78</v>
      </c>
      <c r="L393" t="s">
        <v>75</v>
      </c>
      <c r="M393" t="s">
        <v>76</v>
      </c>
      <c r="N393" t="s">
        <v>1306</v>
      </c>
      <c r="O393" t="s">
        <v>100</v>
      </c>
      <c r="P393" t="str">
        <f>"INV-00120194 CT096671         "</f>
        <v xml:space="preserve">INV-00120194 CT096671         </v>
      </c>
      <c r="Q393">
        <v>0</v>
      </c>
      <c r="R393">
        <v>0</v>
      </c>
      <c r="S393">
        <v>0</v>
      </c>
      <c r="T393">
        <v>0</v>
      </c>
      <c r="U393">
        <v>0</v>
      </c>
      <c r="V393">
        <v>0</v>
      </c>
      <c r="W393">
        <v>0</v>
      </c>
      <c r="X393">
        <v>0</v>
      </c>
      <c r="Y393">
        <v>0</v>
      </c>
      <c r="Z393">
        <v>0</v>
      </c>
      <c r="AA393">
        <v>0</v>
      </c>
      <c r="AB393">
        <v>0</v>
      </c>
      <c r="AC393">
        <v>0</v>
      </c>
      <c r="AD393">
        <v>0</v>
      </c>
      <c r="AE393">
        <v>0</v>
      </c>
      <c r="AF393">
        <v>0</v>
      </c>
      <c r="AG393">
        <v>0</v>
      </c>
      <c r="AH393">
        <v>0</v>
      </c>
      <c r="AI393">
        <v>0</v>
      </c>
      <c r="AJ393">
        <v>0</v>
      </c>
      <c r="AK393">
        <v>0</v>
      </c>
      <c r="AL393">
        <v>0</v>
      </c>
      <c r="AM393">
        <v>0</v>
      </c>
      <c r="AN393">
        <v>0</v>
      </c>
      <c r="AO393">
        <v>0</v>
      </c>
      <c r="AP393">
        <v>0</v>
      </c>
      <c r="AQ393">
        <v>18.03</v>
      </c>
      <c r="AR393">
        <v>0</v>
      </c>
      <c r="AS393">
        <v>0</v>
      </c>
      <c r="AT393">
        <v>0</v>
      </c>
      <c r="AU393">
        <v>0</v>
      </c>
      <c r="AV393">
        <v>0</v>
      </c>
      <c r="AW393">
        <v>0</v>
      </c>
      <c r="AX393">
        <v>0</v>
      </c>
      <c r="AY393">
        <v>0</v>
      </c>
      <c r="AZ393">
        <v>0</v>
      </c>
      <c r="BA393">
        <v>0</v>
      </c>
      <c r="BB393">
        <v>0</v>
      </c>
      <c r="BC393">
        <v>0</v>
      </c>
      <c r="BD393">
        <v>0</v>
      </c>
      <c r="BE393">
        <v>0</v>
      </c>
      <c r="BF393">
        <v>0</v>
      </c>
      <c r="BG393">
        <v>0</v>
      </c>
      <c r="BH393">
        <v>1</v>
      </c>
      <c r="BI393">
        <v>0.8</v>
      </c>
      <c r="BJ393">
        <v>2.1</v>
      </c>
      <c r="BK393">
        <v>3</v>
      </c>
      <c r="BL393">
        <v>55.99</v>
      </c>
      <c r="BM393">
        <v>8.4</v>
      </c>
      <c r="BN393">
        <v>64.39</v>
      </c>
      <c r="BO393">
        <v>64.39</v>
      </c>
      <c r="BQ393" t="s">
        <v>1307</v>
      </c>
      <c r="BR393" t="s">
        <v>491</v>
      </c>
      <c r="BS393" s="3">
        <v>45887</v>
      </c>
      <c r="BT393" s="4">
        <v>0.4</v>
      </c>
      <c r="BU393" t="s">
        <v>1308</v>
      </c>
      <c r="BV393" t="s">
        <v>86</v>
      </c>
      <c r="BY393">
        <v>10451.07</v>
      </c>
      <c r="BZ393" t="s">
        <v>530</v>
      </c>
      <c r="CA393" t="s">
        <v>475</v>
      </c>
      <c r="CC393" t="s">
        <v>76</v>
      </c>
      <c r="CD393">
        <v>7550</v>
      </c>
      <c r="CE393" t="s">
        <v>109</v>
      </c>
      <c r="CF393" s="3">
        <v>45888</v>
      </c>
      <c r="CI393">
        <v>1</v>
      </c>
      <c r="CJ393">
        <v>1</v>
      </c>
      <c r="CK393">
        <v>22</v>
      </c>
      <c r="CL393" t="s">
        <v>90</v>
      </c>
    </row>
    <row r="394" spans="1:90" x14ac:dyDescent="0.3">
      <c r="A394" t="s">
        <v>72</v>
      </c>
      <c r="B394" t="s">
        <v>73</v>
      </c>
      <c r="C394" t="s">
        <v>74</v>
      </c>
      <c r="E394" t="str">
        <f>"GAB2028005"</f>
        <v>GAB2028005</v>
      </c>
      <c r="F394" s="3">
        <v>45891</v>
      </c>
      <c r="G394">
        <v>202605</v>
      </c>
      <c r="H394" t="s">
        <v>75</v>
      </c>
      <c r="I394" t="s">
        <v>76</v>
      </c>
      <c r="J394" t="s">
        <v>77</v>
      </c>
      <c r="K394" t="s">
        <v>78</v>
      </c>
      <c r="L394" t="s">
        <v>148</v>
      </c>
      <c r="M394" t="s">
        <v>149</v>
      </c>
      <c r="N394" t="s">
        <v>1249</v>
      </c>
      <c r="O394" t="s">
        <v>82</v>
      </c>
      <c r="P394" t="str">
        <f>"00120355 096174               "</f>
        <v xml:space="preserve">00120355 096174               </v>
      </c>
      <c r="Q394">
        <v>0</v>
      </c>
      <c r="R394">
        <v>0</v>
      </c>
      <c r="S394">
        <v>0</v>
      </c>
      <c r="T394">
        <v>0</v>
      </c>
      <c r="U394">
        <v>0</v>
      </c>
      <c r="V394">
        <v>0</v>
      </c>
      <c r="W394">
        <v>0</v>
      </c>
      <c r="X394">
        <v>0</v>
      </c>
      <c r="Y394">
        <v>0</v>
      </c>
      <c r="Z394">
        <v>0</v>
      </c>
      <c r="AA394">
        <v>0</v>
      </c>
      <c r="AB394">
        <v>0</v>
      </c>
      <c r="AC394">
        <v>0</v>
      </c>
      <c r="AD394">
        <v>0</v>
      </c>
      <c r="AE394">
        <v>0</v>
      </c>
      <c r="AF394">
        <v>0</v>
      </c>
      <c r="AG394">
        <v>5.87</v>
      </c>
      <c r="AH394">
        <v>0</v>
      </c>
      <c r="AI394">
        <v>0</v>
      </c>
      <c r="AJ394">
        <v>0</v>
      </c>
      <c r="AK394">
        <v>0</v>
      </c>
      <c r="AL394">
        <v>0</v>
      </c>
      <c r="AM394">
        <v>0</v>
      </c>
      <c r="AN394">
        <v>0</v>
      </c>
      <c r="AO394">
        <v>0</v>
      </c>
      <c r="AP394">
        <v>0</v>
      </c>
      <c r="AQ394">
        <v>107.3</v>
      </c>
      <c r="AR394">
        <v>0</v>
      </c>
      <c r="AS394">
        <v>0</v>
      </c>
      <c r="AT394">
        <v>0</v>
      </c>
      <c r="AU394">
        <v>0</v>
      </c>
      <c r="AV394">
        <v>0</v>
      </c>
      <c r="AW394">
        <v>0</v>
      </c>
      <c r="AX394">
        <v>0</v>
      </c>
      <c r="AY394">
        <v>0</v>
      </c>
      <c r="AZ394">
        <v>0</v>
      </c>
      <c r="BA394">
        <v>0</v>
      </c>
      <c r="BB394">
        <v>0</v>
      </c>
      <c r="BC394">
        <v>0</v>
      </c>
      <c r="BD394">
        <v>0</v>
      </c>
      <c r="BE394">
        <v>0</v>
      </c>
      <c r="BF394">
        <v>0</v>
      </c>
      <c r="BG394">
        <v>0</v>
      </c>
      <c r="BH394">
        <v>6</v>
      </c>
      <c r="BI394">
        <v>15.8</v>
      </c>
      <c r="BJ394">
        <v>49</v>
      </c>
      <c r="BK394">
        <v>49</v>
      </c>
      <c r="BL394">
        <v>339.07</v>
      </c>
      <c r="BM394">
        <v>50.86</v>
      </c>
      <c r="BN394">
        <v>389.93</v>
      </c>
      <c r="BO394">
        <v>389.93</v>
      </c>
      <c r="BQ394" t="s">
        <v>1250</v>
      </c>
      <c r="BR394" t="s">
        <v>84</v>
      </c>
      <c r="BS394" s="3">
        <v>45894</v>
      </c>
      <c r="BT394" s="4">
        <v>0.52569444444444446</v>
      </c>
      <c r="BU394" t="s">
        <v>1251</v>
      </c>
      <c r="BV394" t="s">
        <v>86</v>
      </c>
      <c r="BY394">
        <v>244781.39</v>
      </c>
      <c r="CC394" t="s">
        <v>149</v>
      </c>
      <c r="CD394">
        <v>6001</v>
      </c>
      <c r="CE394" t="s">
        <v>775</v>
      </c>
      <c r="CF394" s="3">
        <v>45895</v>
      </c>
      <c r="CI394">
        <v>3</v>
      </c>
      <c r="CJ394">
        <v>1</v>
      </c>
      <c r="CK394">
        <v>41</v>
      </c>
      <c r="CL394" t="s">
        <v>90</v>
      </c>
    </row>
    <row r="395" spans="1:90" x14ac:dyDescent="0.3">
      <c r="A395" t="s">
        <v>72</v>
      </c>
      <c r="B395" t="s">
        <v>73</v>
      </c>
      <c r="C395" t="s">
        <v>74</v>
      </c>
      <c r="E395" t="str">
        <f>"GAB2028008"</f>
        <v>GAB2028008</v>
      </c>
      <c r="F395" s="3">
        <v>45891</v>
      </c>
      <c r="G395">
        <v>202605</v>
      </c>
      <c r="H395" t="s">
        <v>75</v>
      </c>
      <c r="I395" t="s">
        <v>76</v>
      </c>
      <c r="J395" t="s">
        <v>77</v>
      </c>
      <c r="K395" t="s">
        <v>78</v>
      </c>
      <c r="L395" t="s">
        <v>345</v>
      </c>
      <c r="M395" t="s">
        <v>346</v>
      </c>
      <c r="N395" t="s">
        <v>1066</v>
      </c>
      <c r="O395" t="s">
        <v>82</v>
      </c>
      <c r="P395" t="str">
        <f>"00120356 096694               "</f>
        <v xml:space="preserve">00120356 096694               </v>
      </c>
      <c r="Q395">
        <v>0</v>
      </c>
      <c r="R395">
        <v>0</v>
      </c>
      <c r="S395">
        <v>0</v>
      </c>
      <c r="T395">
        <v>0</v>
      </c>
      <c r="U395">
        <v>0</v>
      </c>
      <c r="V395">
        <v>0</v>
      </c>
      <c r="W395">
        <v>0</v>
      </c>
      <c r="X395">
        <v>0</v>
      </c>
      <c r="Y395">
        <v>0</v>
      </c>
      <c r="Z395">
        <v>0</v>
      </c>
      <c r="AA395">
        <v>0</v>
      </c>
      <c r="AB395">
        <v>0</v>
      </c>
      <c r="AC395">
        <v>0</v>
      </c>
      <c r="AD395">
        <v>0</v>
      </c>
      <c r="AE395">
        <v>0</v>
      </c>
      <c r="AF395">
        <v>0</v>
      </c>
      <c r="AG395">
        <v>5.87</v>
      </c>
      <c r="AH395">
        <v>0</v>
      </c>
      <c r="AI395">
        <v>0</v>
      </c>
      <c r="AJ395">
        <v>0</v>
      </c>
      <c r="AK395">
        <v>0</v>
      </c>
      <c r="AL395">
        <v>0</v>
      </c>
      <c r="AM395">
        <v>0</v>
      </c>
      <c r="AN395">
        <v>0</v>
      </c>
      <c r="AO395">
        <v>0</v>
      </c>
      <c r="AP395">
        <v>0</v>
      </c>
      <c r="AQ395">
        <v>44.64</v>
      </c>
      <c r="AR395">
        <v>0</v>
      </c>
      <c r="AS395">
        <v>0</v>
      </c>
      <c r="AT395">
        <v>0</v>
      </c>
      <c r="AU395">
        <v>0</v>
      </c>
      <c r="AV395">
        <v>0</v>
      </c>
      <c r="AW395">
        <v>0</v>
      </c>
      <c r="AX395">
        <v>0</v>
      </c>
      <c r="AY395">
        <v>0</v>
      </c>
      <c r="AZ395">
        <v>0</v>
      </c>
      <c r="BA395">
        <v>0</v>
      </c>
      <c r="BB395">
        <v>0</v>
      </c>
      <c r="BC395">
        <v>0</v>
      </c>
      <c r="BD395">
        <v>0</v>
      </c>
      <c r="BE395">
        <v>0</v>
      </c>
      <c r="BF395">
        <v>0</v>
      </c>
      <c r="BG395">
        <v>0</v>
      </c>
      <c r="BH395">
        <v>1</v>
      </c>
      <c r="BI395">
        <v>6</v>
      </c>
      <c r="BJ395">
        <v>12.3</v>
      </c>
      <c r="BK395">
        <v>13</v>
      </c>
      <c r="BL395">
        <v>144.49</v>
      </c>
      <c r="BM395">
        <v>21.67</v>
      </c>
      <c r="BN395">
        <v>166.16</v>
      </c>
      <c r="BO395">
        <v>166.16</v>
      </c>
      <c r="BQ395" t="s">
        <v>168</v>
      </c>
      <c r="BR395" t="s">
        <v>84</v>
      </c>
      <c r="BS395" s="3">
        <v>45894</v>
      </c>
      <c r="BT395" s="4">
        <v>0.60138888888888886</v>
      </c>
      <c r="BU395" t="s">
        <v>1309</v>
      </c>
      <c r="BV395" t="s">
        <v>86</v>
      </c>
      <c r="BY395">
        <v>61553.599999999999</v>
      </c>
      <c r="CC395" t="s">
        <v>346</v>
      </c>
      <c r="CD395">
        <v>9301</v>
      </c>
      <c r="CE395" t="s">
        <v>171</v>
      </c>
      <c r="CF395" s="3">
        <v>45895</v>
      </c>
      <c r="CI395">
        <v>4</v>
      </c>
      <c r="CJ395">
        <v>1</v>
      </c>
      <c r="CK395">
        <v>41</v>
      </c>
      <c r="CL395" t="s">
        <v>90</v>
      </c>
    </row>
    <row r="396" spans="1:90" x14ac:dyDescent="0.3">
      <c r="A396" t="s">
        <v>72</v>
      </c>
      <c r="B396" t="s">
        <v>73</v>
      </c>
      <c r="C396" t="s">
        <v>74</v>
      </c>
      <c r="E396" t="str">
        <f>"GAB2028020"</f>
        <v>GAB2028020</v>
      </c>
      <c r="F396" s="3">
        <v>45891</v>
      </c>
      <c r="G396">
        <v>202605</v>
      </c>
      <c r="H396" t="s">
        <v>75</v>
      </c>
      <c r="I396" t="s">
        <v>76</v>
      </c>
      <c r="J396" t="s">
        <v>77</v>
      </c>
      <c r="K396" t="s">
        <v>78</v>
      </c>
      <c r="L396" t="s">
        <v>666</v>
      </c>
      <c r="M396" t="s">
        <v>667</v>
      </c>
      <c r="N396" t="s">
        <v>1310</v>
      </c>
      <c r="O396" t="s">
        <v>82</v>
      </c>
      <c r="P396" t="str">
        <f>"00120379 378 096312 479       "</f>
        <v xml:space="preserve">00120379 378 096312 479       </v>
      </c>
      <c r="Q396">
        <v>0</v>
      </c>
      <c r="R396">
        <v>0</v>
      </c>
      <c r="S396">
        <v>0</v>
      </c>
      <c r="T396">
        <v>0</v>
      </c>
      <c r="U396">
        <v>0</v>
      </c>
      <c r="V396">
        <v>0</v>
      </c>
      <c r="W396">
        <v>0</v>
      </c>
      <c r="X396">
        <v>0</v>
      </c>
      <c r="Y396">
        <v>0</v>
      </c>
      <c r="Z396">
        <v>0</v>
      </c>
      <c r="AA396">
        <v>0</v>
      </c>
      <c r="AB396">
        <v>0</v>
      </c>
      <c r="AC396">
        <v>0</v>
      </c>
      <c r="AD396">
        <v>0</v>
      </c>
      <c r="AE396">
        <v>0</v>
      </c>
      <c r="AF396">
        <v>0</v>
      </c>
      <c r="AG396">
        <v>5.87</v>
      </c>
      <c r="AH396">
        <v>0</v>
      </c>
      <c r="AI396">
        <v>0</v>
      </c>
      <c r="AJ396">
        <v>0</v>
      </c>
      <c r="AK396">
        <v>0</v>
      </c>
      <c r="AL396">
        <v>0</v>
      </c>
      <c r="AM396">
        <v>0</v>
      </c>
      <c r="AN396">
        <v>0</v>
      </c>
      <c r="AO396">
        <v>0</v>
      </c>
      <c r="AP396">
        <v>0</v>
      </c>
      <c r="AQ396">
        <v>44.64</v>
      </c>
      <c r="AR396">
        <v>0</v>
      </c>
      <c r="AS396">
        <v>0</v>
      </c>
      <c r="AT396">
        <v>0</v>
      </c>
      <c r="AU396">
        <v>0</v>
      </c>
      <c r="AV396">
        <v>0</v>
      </c>
      <c r="AW396">
        <v>0</v>
      </c>
      <c r="AX396">
        <v>0</v>
      </c>
      <c r="AY396">
        <v>0</v>
      </c>
      <c r="AZ396">
        <v>0</v>
      </c>
      <c r="BA396">
        <v>0</v>
      </c>
      <c r="BB396">
        <v>0</v>
      </c>
      <c r="BC396">
        <v>0</v>
      </c>
      <c r="BD396">
        <v>0</v>
      </c>
      <c r="BE396">
        <v>0</v>
      </c>
      <c r="BF396">
        <v>0</v>
      </c>
      <c r="BG396">
        <v>0</v>
      </c>
      <c r="BH396">
        <v>1</v>
      </c>
      <c r="BI396">
        <v>1.9</v>
      </c>
      <c r="BJ396">
        <v>2.5</v>
      </c>
      <c r="BK396">
        <v>3</v>
      </c>
      <c r="BL396">
        <v>144.49</v>
      </c>
      <c r="BM396">
        <v>21.67</v>
      </c>
      <c r="BN396">
        <v>166.16</v>
      </c>
      <c r="BO396">
        <v>166.16</v>
      </c>
      <c r="BR396" t="s">
        <v>84</v>
      </c>
      <c r="BS396" s="3">
        <v>45894</v>
      </c>
      <c r="BT396" s="4">
        <v>0.44930555555555557</v>
      </c>
      <c r="BU396" t="s">
        <v>1311</v>
      </c>
      <c r="BV396" t="s">
        <v>86</v>
      </c>
      <c r="BY396">
        <v>12253.95</v>
      </c>
      <c r="CA396" t="s">
        <v>1312</v>
      </c>
      <c r="CC396" t="s">
        <v>667</v>
      </c>
      <c r="CD396">
        <v>2162</v>
      </c>
      <c r="CE396" t="s">
        <v>775</v>
      </c>
      <c r="CF396" s="3">
        <v>45895</v>
      </c>
      <c r="CI396">
        <v>2</v>
      </c>
      <c r="CJ396">
        <v>1</v>
      </c>
      <c r="CK396">
        <v>41</v>
      </c>
      <c r="CL396" t="s">
        <v>90</v>
      </c>
    </row>
    <row r="397" spans="1:90" x14ac:dyDescent="0.3">
      <c r="A397" t="s">
        <v>72</v>
      </c>
      <c r="B397" t="s">
        <v>73</v>
      </c>
      <c r="C397" t="s">
        <v>74</v>
      </c>
      <c r="E397" t="str">
        <f>"GAB2028021"</f>
        <v>GAB2028021</v>
      </c>
      <c r="F397" s="3">
        <v>45891</v>
      </c>
      <c r="G397">
        <v>202605</v>
      </c>
      <c r="H397" t="s">
        <v>75</v>
      </c>
      <c r="I397" t="s">
        <v>76</v>
      </c>
      <c r="J397" t="s">
        <v>77</v>
      </c>
      <c r="K397" t="s">
        <v>78</v>
      </c>
      <c r="L397" t="s">
        <v>91</v>
      </c>
      <c r="M397" t="s">
        <v>92</v>
      </c>
      <c r="N397" t="s">
        <v>105</v>
      </c>
      <c r="O397" t="s">
        <v>82</v>
      </c>
      <c r="P397" t="str">
        <f>"00120363 096167               "</f>
        <v xml:space="preserve">00120363 096167               </v>
      </c>
      <c r="Q397">
        <v>0</v>
      </c>
      <c r="R397">
        <v>0</v>
      </c>
      <c r="S397">
        <v>0</v>
      </c>
      <c r="T397">
        <v>0</v>
      </c>
      <c r="U397">
        <v>0</v>
      </c>
      <c r="V397">
        <v>0</v>
      </c>
      <c r="W397">
        <v>0</v>
      </c>
      <c r="X397">
        <v>0</v>
      </c>
      <c r="Y397">
        <v>0</v>
      </c>
      <c r="Z397">
        <v>0</v>
      </c>
      <c r="AA397">
        <v>0</v>
      </c>
      <c r="AB397">
        <v>0</v>
      </c>
      <c r="AC397">
        <v>0</v>
      </c>
      <c r="AD397">
        <v>0</v>
      </c>
      <c r="AE397">
        <v>0</v>
      </c>
      <c r="AF397">
        <v>0</v>
      </c>
      <c r="AG397">
        <v>5.87</v>
      </c>
      <c r="AH397">
        <v>0</v>
      </c>
      <c r="AI397">
        <v>0</v>
      </c>
      <c r="AJ397">
        <v>0</v>
      </c>
      <c r="AK397">
        <v>0</v>
      </c>
      <c r="AL397">
        <v>0</v>
      </c>
      <c r="AM397">
        <v>0</v>
      </c>
      <c r="AN397">
        <v>0</v>
      </c>
      <c r="AO397">
        <v>0</v>
      </c>
      <c r="AP397">
        <v>0</v>
      </c>
      <c r="AQ397">
        <v>118.36</v>
      </c>
      <c r="AR397">
        <v>0</v>
      </c>
      <c r="AS397">
        <v>0</v>
      </c>
      <c r="AT397">
        <v>0</v>
      </c>
      <c r="AU397">
        <v>0</v>
      </c>
      <c r="AV397">
        <v>0</v>
      </c>
      <c r="AW397">
        <v>0</v>
      </c>
      <c r="AX397">
        <v>0</v>
      </c>
      <c r="AY397">
        <v>0</v>
      </c>
      <c r="AZ397">
        <v>0</v>
      </c>
      <c r="BA397">
        <v>0</v>
      </c>
      <c r="BB397">
        <v>0</v>
      </c>
      <c r="BC397">
        <v>0</v>
      </c>
      <c r="BD397">
        <v>0</v>
      </c>
      <c r="BE397">
        <v>0</v>
      </c>
      <c r="BF397">
        <v>0</v>
      </c>
      <c r="BG397">
        <v>0</v>
      </c>
      <c r="BH397">
        <v>7</v>
      </c>
      <c r="BI397">
        <v>25.5</v>
      </c>
      <c r="BJ397">
        <v>54.7</v>
      </c>
      <c r="BK397">
        <v>55</v>
      </c>
      <c r="BL397">
        <v>373.41</v>
      </c>
      <c r="BM397">
        <v>56.01</v>
      </c>
      <c r="BN397">
        <v>429.42</v>
      </c>
      <c r="BO397">
        <v>429.42</v>
      </c>
      <c r="BQ397" t="s">
        <v>1313</v>
      </c>
      <c r="BR397" t="s">
        <v>84</v>
      </c>
      <c r="BS397" s="3">
        <v>45896</v>
      </c>
      <c r="BT397" s="4">
        <v>0.6333333333333333</v>
      </c>
      <c r="BU397" t="s">
        <v>1314</v>
      </c>
      <c r="BV397" t="s">
        <v>86</v>
      </c>
      <c r="BY397">
        <v>273263.46999999997</v>
      </c>
      <c r="CA397" t="s">
        <v>1315</v>
      </c>
      <c r="CC397" t="s">
        <v>92</v>
      </c>
      <c r="CD397">
        <v>4001</v>
      </c>
      <c r="CE397" t="s">
        <v>775</v>
      </c>
      <c r="CF397" s="3">
        <v>45896</v>
      </c>
      <c r="CI397">
        <v>3</v>
      </c>
      <c r="CJ397">
        <v>3</v>
      </c>
      <c r="CK397">
        <v>41</v>
      </c>
      <c r="CL397" t="s">
        <v>90</v>
      </c>
    </row>
    <row r="398" spans="1:90" x14ac:dyDescent="0.3">
      <c r="A398" t="s">
        <v>72</v>
      </c>
      <c r="B398" t="s">
        <v>73</v>
      </c>
      <c r="C398" t="s">
        <v>74</v>
      </c>
      <c r="E398" t="str">
        <f>"GAB2028023"</f>
        <v>GAB2028023</v>
      </c>
      <c r="F398" s="3">
        <v>45891</v>
      </c>
      <c r="G398">
        <v>202605</v>
      </c>
      <c r="H398" t="s">
        <v>75</v>
      </c>
      <c r="I398" t="s">
        <v>76</v>
      </c>
      <c r="J398" t="s">
        <v>77</v>
      </c>
      <c r="K398" t="s">
        <v>78</v>
      </c>
      <c r="L398" t="s">
        <v>1316</v>
      </c>
      <c r="M398" t="s">
        <v>1317</v>
      </c>
      <c r="N398" t="s">
        <v>1318</v>
      </c>
      <c r="O398" t="s">
        <v>82</v>
      </c>
      <c r="P398" t="str">
        <f>"00120368 367 366 096774 773 77"</f>
        <v>00120368 367 366 096774 773 77</v>
      </c>
      <c r="Q398">
        <v>0</v>
      </c>
      <c r="R398">
        <v>0</v>
      </c>
      <c r="S398">
        <v>0</v>
      </c>
      <c r="T398">
        <v>0</v>
      </c>
      <c r="U398">
        <v>0</v>
      </c>
      <c r="V398">
        <v>0</v>
      </c>
      <c r="W398">
        <v>0</v>
      </c>
      <c r="X398">
        <v>0</v>
      </c>
      <c r="Y398">
        <v>0</v>
      </c>
      <c r="Z398">
        <v>0</v>
      </c>
      <c r="AA398">
        <v>0</v>
      </c>
      <c r="AB398">
        <v>0</v>
      </c>
      <c r="AC398">
        <v>0</v>
      </c>
      <c r="AD398">
        <v>0</v>
      </c>
      <c r="AE398">
        <v>0</v>
      </c>
      <c r="AF398">
        <v>0</v>
      </c>
      <c r="AG398">
        <v>5.87</v>
      </c>
      <c r="AH398">
        <v>0</v>
      </c>
      <c r="AI398">
        <v>0</v>
      </c>
      <c r="AJ398">
        <v>0</v>
      </c>
      <c r="AK398">
        <v>0</v>
      </c>
      <c r="AL398">
        <v>0</v>
      </c>
      <c r="AM398">
        <v>0</v>
      </c>
      <c r="AN398">
        <v>0</v>
      </c>
      <c r="AO398">
        <v>0</v>
      </c>
      <c r="AP398">
        <v>0</v>
      </c>
      <c r="AQ398">
        <v>62.96</v>
      </c>
      <c r="AR398">
        <v>0</v>
      </c>
      <c r="AS398">
        <v>0</v>
      </c>
      <c r="AT398">
        <v>0</v>
      </c>
      <c r="AU398">
        <v>0</v>
      </c>
      <c r="AV398">
        <v>0</v>
      </c>
      <c r="AW398">
        <v>0</v>
      </c>
      <c r="AX398">
        <v>0</v>
      </c>
      <c r="AY398">
        <v>0</v>
      </c>
      <c r="AZ398">
        <v>0</v>
      </c>
      <c r="BA398">
        <v>0</v>
      </c>
      <c r="BB398">
        <v>0</v>
      </c>
      <c r="BC398">
        <v>0</v>
      </c>
      <c r="BD398">
        <v>0</v>
      </c>
      <c r="BE398">
        <v>0</v>
      </c>
      <c r="BF398">
        <v>0</v>
      </c>
      <c r="BG398">
        <v>0</v>
      </c>
      <c r="BH398">
        <v>1</v>
      </c>
      <c r="BI398">
        <v>1.9</v>
      </c>
      <c r="BJ398">
        <v>6</v>
      </c>
      <c r="BK398">
        <v>6</v>
      </c>
      <c r="BL398">
        <v>201.38</v>
      </c>
      <c r="BM398">
        <v>30.21</v>
      </c>
      <c r="BN398">
        <v>231.59</v>
      </c>
      <c r="BO398">
        <v>231.59</v>
      </c>
      <c r="BQ398" t="s">
        <v>175</v>
      </c>
      <c r="BR398" t="s">
        <v>84</v>
      </c>
      <c r="BS398" s="3">
        <v>45896</v>
      </c>
      <c r="BT398" s="4">
        <v>0.4548611111111111</v>
      </c>
      <c r="BU398" t="s">
        <v>1319</v>
      </c>
      <c r="BV398" t="s">
        <v>86</v>
      </c>
      <c r="BY398">
        <v>29791.13</v>
      </c>
      <c r="CA398" t="s">
        <v>1320</v>
      </c>
      <c r="CC398" t="s">
        <v>1317</v>
      </c>
      <c r="CD398">
        <v>9650</v>
      </c>
      <c r="CE398" t="s">
        <v>361</v>
      </c>
      <c r="CF398" s="3">
        <v>45897</v>
      </c>
      <c r="CI398">
        <v>4</v>
      </c>
      <c r="CJ398">
        <v>3</v>
      </c>
      <c r="CK398">
        <v>43</v>
      </c>
      <c r="CL398" t="s">
        <v>90</v>
      </c>
    </row>
    <row r="399" spans="1:90" x14ac:dyDescent="0.3">
      <c r="A399" t="s">
        <v>72</v>
      </c>
      <c r="B399" t="s">
        <v>73</v>
      </c>
      <c r="C399" t="s">
        <v>74</v>
      </c>
      <c r="E399" t="str">
        <f>"GAB2028028"</f>
        <v>GAB2028028</v>
      </c>
      <c r="F399" s="3">
        <v>45891</v>
      </c>
      <c r="G399">
        <v>202605</v>
      </c>
      <c r="H399" t="s">
        <v>75</v>
      </c>
      <c r="I399" t="s">
        <v>76</v>
      </c>
      <c r="J399" t="s">
        <v>77</v>
      </c>
      <c r="K399" t="s">
        <v>78</v>
      </c>
      <c r="L399" t="s">
        <v>91</v>
      </c>
      <c r="M399" t="s">
        <v>92</v>
      </c>
      <c r="N399" t="s">
        <v>1321</v>
      </c>
      <c r="O399" t="s">
        <v>82</v>
      </c>
      <c r="P399" t="str">
        <f>"00120390 096692               "</f>
        <v xml:space="preserve">00120390 096692               </v>
      </c>
      <c r="Q399">
        <v>0</v>
      </c>
      <c r="R399">
        <v>0</v>
      </c>
      <c r="S399">
        <v>0</v>
      </c>
      <c r="T399">
        <v>0</v>
      </c>
      <c r="U399">
        <v>0</v>
      </c>
      <c r="V399">
        <v>0</v>
      </c>
      <c r="W399">
        <v>0</v>
      </c>
      <c r="X399">
        <v>0</v>
      </c>
      <c r="Y399">
        <v>0</v>
      </c>
      <c r="Z399">
        <v>0</v>
      </c>
      <c r="AA399">
        <v>0</v>
      </c>
      <c r="AB399">
        <v>0</v>
      </c>
      <c r="AC399">
        <v>0</v>
      </c>
      <c r="AD399">
        <v>0</v>
      </c>
      <c r="AE399">
        <v>0</v>
      </c>
      <c r="AF399">
        <v>0</v>
      </c>
      <c r="AG399">
        <v>5.87</v>
      </c>
      <c r="AH399">
        <v>0</v>
      </c>
      <c r="AI399">
        <v>0</v>
      </c>
      <c r="AJ399">
        <v>0</v>
      </c>
      <c r="AK399">
        <v>0</v>
      </c>
      <c r="AL399">
        <v>0</v>
      </c>
      <c r="AM399">
        <v>0</v>
      </c>
      <c r="AN399">
        <v>0</v>
      </c>
      <c r="AO399">
        <v>0</v>
      </c>
      <c r="AP399">
        <v>0</v>
      </c>
      <c r="AQ399">
        <v>44.64</v>
      </c>
      <c r="AR399">
        <v>0</v>
      </c>
      <c r="AS399">
        <v>0</v>
      </c>
      <c r="AT399">
        <v>0</v>
      </c>
      <c r="AU399">
        <v>0</v>
      </c>
      <c r="AV399">
        <v>0</v>
      </c>
      <c r="AW399">
        <v>0</v>
      </c>
      <c r="AX399">
        <v>0</v>
      </c>
      <c r="AY399">
        <v>0</v>
      </c>
      <c r="AZ399">
        <v>0</v>
      </c>
      <c r="BA399">
        <v>0</v>
      </c>
      <c r="BB399">
        <v>0</v>
      </c>
      <c r="BC399">
        <v>0</v>
      </c>
      <c r="BD399">
        <v>0</v>
      </c>
      <c r="BE399">
        <v>0</v>
      </c>
      <c r="BF399">
        <v>0</v>
      </c>
      <c r="BG399">
        <v>0</v>
      </c>
      <c r="BH399">
        <v>1</v>
      </c>
      <c r="BI399">
        <v>0.4</v>
      </c>
      <c r="BJ399">
        <v>2.4</v>
      </c>
      <c r="BK399">
        <v>3</v>
      </c>
      <c r="BL399">
        <v>144.49</v>
      </c>
      <c r="BM399">
        <v>21.67</v>
      </c>
      <c r="BN399">
        <v>166.16</v>
      </c>
      <c r="BO399">
        <v>166.16</v>
      </c>
      <c r="BQ399" t="s">
        <v>1322</v>
      </c>
      <c r="BR399" t="s">
        <v>84</v>
      </c>
      <c r="BS399" s="3">
        <v>45894</v>
      </c>
      <c r="BT399" s="4">
        <v>0.5229166666666667</v>
      </c>
      <c r="BU399" t="s">
        <v>1323</v>
      </c>
      <c r="BV399" t="s">
        <v>86</v>
      </c>
      <c r="BY399">
        <v>11999.39</v>
      </c>
      <c r="CA399" t="s">
        <v>1315</v>
      </c>
      <c r="CC399" t="s">
        <v>92</v>
      </c>
      <c r="CD399">
        <v>4067</v>
      </c>
      <c r="CE399" t="s">
        <v>396</v>
      </c>
      <c r="CF399" s="3">
        <v>45894</v>
      </c>
      <c r="CI399">
        <v>3</v>
      </c>
      <c r="CJ399">
        <v>1</v>
      </c>
      <c r="CK399">
        <v>41</v>
      </c>
      <c r="CL399" t="s">
        <v>90</v>
      </c>
    </row>
    <row r="400" spans="1:90" x14ac:dyDescent="0.3">
      <c r="A400" t="s">
        <v>72</v>
      </c>
      <c r="B400" t="s">
        <v>73</v>
      </c>
      <c r="C400" t="s">
        <v>74</v>
      </c>
      <c r="E400" t="str">
        <f>"GAB2028030"</f>
        <v>GAB2028030</v>
      </c>
      <c r="F400" s="3">
        <v>45891</v>
      </c>
      <c r="G400">
        <v>202605</v>
      </c>
      <c r="H400" t="s">
        <v>75</v>
      </c>
      <c r="I400" t="s">
        <v>76</v>
      </c>
      <c r="J400" t="s">
        <v>77</v>
      </c>
      <c r="K400" t="s">
        <v>78</v>
      </c>
      <c r="L400" t="s">
        <v>415</v>
      </c>
      <c r="M400" t="s">
        <v>416</v>
      </c>
      <c r="N400" t="s">
        <v>1267</v>
      </c>
      <c r="O400" t="s">
        <v>82</v>
      </c>
      <c r="P400" t="str">
        <f>"79558 096083                  "</f>
        <v xml:space="preserve">79558 096083                  </v>
      </c>
      <c r="Q400">
        <v>0</v>
      </c>
      <c r="R400">
        <v>0</v>
      </c>
      <c r="S400">
        <v>0</v>
      </c>
      <c r="T400">
        <v>0</v>
      </c>
      <c r="U400">
        <v>0</v>
      </c>
      <c r="V400">
        <v>0</v>
      </c>
      <c r="W400">
        <v>0</v>
      </c>
      <c r="X400">
        <v>0</v>
      </c>
      <c r="Y400">
        <v>0</v>
      </c>
      <c r="Z400">
        <v>0</v>
      </c>
      <c r="AA400">
        <v>0</v>
      </c>
      <c r="AB400">
        <v>0</v>
      </c>
      <c r="AC400">
        <v>0</v>
      </c>
      <c r="AD400">
        <v>0</v>
      </c>
      <c r="AE400">
        <v>0</v>
      </c>
      <c r="AF400">
        <v>0</v>
      </c>
      <c r="AG400">
        <v>5.87</v>
      </c>
      <c r="AH400">
        <v>0</v>
      </c>
      <c r="AI400">
        <v>0</v>
      </c>
      <c r="AJ400">
        <v>0</v>
      </c>
      <c r="AK400">
        <v>0</v>
      </c>
      <c r="AL400">
        <v>0</v>
      </c>
      <c r="AM400">
        <v>0</v>
      </c>
      <c r="AN400">
        <v>0</v>
      </c>
      <c r="AO400">
        <v>0</v>
      </c>
      <c r="AP400">
        <v>0</v>
      </c>
      <c r="AQ400">
        <v>44.64</v>
      </c>
      <c r="AR400">
        <v>0</v>
      </c>
      <c r="AS400">
        <v>0</v>
      </c>
      <c r="AT400">
        <v>0</v>
      </c>
      <c r="AU400">
        <v>0</v>
      </c>
      <c r="AV400">
        <v>0</v>
      </c>
      <c r="AW400">
        <v>0</v>
      </c>
      <c r="AX400">
        <v>0</v>
      </c>
      <c r="AY400">
        <v>0</v>
      </c>
      <c r="AZ400">
        <v>0</v>
      </c>
      <c r="BA400">
        <v>0</v>
      </c>
      <c r="BB400">
        <v>0</v>
      </c>
      <c r="BC400">
        <v>0</v>
      </c>
      <c r="BD400">
        <v>0</v>
      </c>
      <c r="BE400">
        <v>0</v>
      </c>
      <c r="BF400">
        <v>0</v>
      </c>
      <c r="BG400">
        <v>0</v>
      </c>
      <c r="BH400">
        <v>1</v>
      </c>
      <c r="BI400">
        <v>9.1999999999999993</v>
      </c>
      <c r="BJ400">
        <v>12.4</v>
      </c>
      <c r="BK400">
        <v>13</v>
      </c>
      <c r="BL400">
        <v>144.49</v>
      </c>
      <c r="BM400">
        <v>21.67</v>
      </c>
      <c r="BN400">
        <v>166.16</v>
      </c>
      <c r="BO400">
        <v>166.16</v>
      </c>
      <c r="BR400" t="s">
        <v>84</v>
      </c>
      <c r="BS400" s="3">
        <v>45894</v>
      </c>
      <c r="BT400" s="4">
        <v>0.55902777777777779</v>
      </c>
      <c r="BU400" t="s">
        <v>1268</v>
      </c>
      <c r="BV400" t="s">
        <v>86</v>
      </c>
      <c r="BY400">
        <v>62092.800000000003</v>
      </c>
      <c r="CA400" t="s">
        <v>1269</v>
      </c>
      <c r="CC400" t="s">
        <v>416</v>
      </c>
      <c r="CD400">
        <v>2000</v>
      </c>
      <c r="CE400" t="s">
        <v>775</v>
      </c>
      <c r="CF400" s="3">
        <v>45895</v>
      </c>
      <c r="CI400">
        <v>2</v>
      </c>
      <c r="CJ400">
        <v>1</v>
      </c>
      <c r="CK400">
        <v>41</v>
      </c>
      <c r="CL400" t="s">
        <v>90</v>
      </c>
    </row>
    <row r="401" spans="1:90" x14ac:dyDescent="0.3">
      <c r="A401" t="s">
        <v>72</v>
      </c>
      <c r="B401" t="s">
        <v>73</v>
      </c>
      <c r="C401" t="s">
        <v>74</v>
      </c>
      <c r="E401" t="str">
        <f>"GAB2028006"</f>
        <v>GAB2028006</v>
      </c>
      <c r="F401" s="3">
        <v>45891</v>
      </c>
      <c r="G401">
        <v>202605</v>
      </c>
      <c r="H401" t="s">
        <v>75</v>
      </c>
      <c r="I401" t="s">
        <v>76</v>
      </c>
      <c r="J401" t="s">
        <v>77</v>
      </c>
      <c r="K401" t="s">
        <v>78</v>
      </c>
      <c r="L401" t="s">
        <v>75</v>
      </c>
      <c r="M401" t="s">
        <v>76</v>
      </c>
      <c r="N401" t="s">
        <v>243</v>
      </c>
      <c r="O401" t="s">
        <v>100</v>
      </c>
      <c r="P401" t="str">
        <f>"00120365 096776               "</f>
        <v xml:space="preserve">00120365 096776               </v>
      </c>
      <c r="Q401">
        <v>0</v>
      </c>
      <c r="R401">
        <v>0</v>
      </c>
      <c r="S401">
        <v>0</v>
      </c>
      <c r="T401">
        <v>0</v>
      </c>
      <c r="U401">
        <v>0</v>
      </c>
      <c r="V401">
        <v>0</v>
      </c>
      <c r="W401">
        <v>0</v>
      </c>
      <c r="X401">
        <v>0</v>
      </c>
      <c r="Y401">
        <v>0</v>
      </c>
      <c r="Z401">
        <v>0</v>
      </c>
      <c r="AA401">
        <v>0</v>
      </c>
      <c r="AB401">
        <v>0</v>
      </c>
      <c r="AC401">
        <v>0</v>
      </c>
      <c r="AD401">
        <v>0</v>
      </c>
      <c r="AE401">
        <v>0</v>
      </c>
      <c r="AF401">
        <v>0</v>
      </c>
      <c r="AG401">
        <v>0</v>
      </c>
      <c r="AH401">
        <v>0</v>
      </c>
      <c r="AI401">
        <v>0</v>
      </c>
      <c r="AJ401">
        <v>0</v>
      </c>
      <c r="AK401">
        <v>0</v>
      </c>
      <c r="AL401">
        <v>0</v>
      </c>
      <c r="AM401">
        <v>0</v>
      </c>
      <c r="AN401">
        <v>0</v>
      </c>
      <c r="AO401">
        <v>0</v>
      </c>
      <c r="AP401">
        <v>0</v>
      </c>
      <c r="AQ401">
        <v>18.03</v>
      </c>
      <c r="AR401">
        <v>0</v>
      </c>
      <c r="AS401">
        <v>0</v>
      </c>
      <c r="AT401">
        <v>0</v>
      </c>
      <c r="AU401">
        <v>0</v>
      </c>
      <c r="AV401">
        <v>0</v>
      </c>
      <c r="AW401">
        <v>0</v>
      </c>
      <c r="AX401">
        <v>0</v>
      </c>
      <c r="AY401">
        <v>0</v>
      </c>
      <c r="AZ401">
        <v>0</v>
      </c>
      <c r="BA401">
        <v>0</v>
      </c>
      <c r="BB401">
        <v>0</v>
      </c>
      <c r="BC401">
        <v>0</v>
      </c>
      <c r="BD401">
        <v>0</v>
      </c>
      <c r="BE401">
        <v>0</v>
      </c>
      <c r="BF401">
        <v>0</v>
      </c>
      <c r="BG401">
        <v>0</v>
      </c>
      <c r="BH401">
        <v>1</v>
      </c>
      <c r="BI401">
        <v>0.4</v>
      </c>
      <c r="BJ401">
        <v>2.4</v>
      </c>
      <c r="BK401">
        <v>3</v>
      </c>
      <c r="BL401">
        <v>55.99</v>
      </c>
      <c r="BM401">
        <v>8.4</v>
      </c>
      <c r="BN401">
        <v>64.39</v>
      </c>
      <c r="BO401">
        <v>64.39</v>
      </c>
      <c r="BQ401" t="s">
        <v>244</v>
      </c>
      <c r="BR401" t="s">
        <v>84</v>
      </c>
      <c r="BS401" s="3">
        <v>45894</v>
      </c>
      <c r="BT401" s="4">
        <v>0.44444444444444442</v>
      </c>
      <c r="BU401" t="s">
        <v>1324</v>
      </c>
      <c r="BV401" t="s">
        <v>90</v>
      </c>
      <c r="BW401" t="s">
        <v>156</v>
      </c>
      <c r="BX401" t="s">
        <v>157</v>
      </c>
      <c r="BY401">
        <v>11823.08</v>
      </c>
      <c r="BZ401" t="s">
        <v>102</v>
      </c>
      <c r="CA401" t="s">
        <v>1042</v>
      </c>
      <c r="CC401" t="s">
        <v>76</v>
      </c>
      <c r="CD401">
        <v>7800</v>
      </c>
      <c r="CE401" t="s">
        <v>471</v>
      </c>
      <c r="CF401" s="3">
        <v>45897</v>
      </c>
      <c r="CI401">
        <v>1</v>
      </c>
      <c r="CJ401">
        <v>1</v>
      </c>
      <c r="CK401">
        <v>22</v>
      </c>
      <c r="CL401" t="s">
        <v>90</v>
      </c>
    </row>
    <row r="402" spans="1:90" x14ac:dyDescent="0.3">
      <c r="A402" t="s">
        <v>72</v>
      </c>
      <c r="B402" t="s">
        <v>73</v>
      </c>
      <c r="C402" t="s">
        <v>74</v>
      </c>
      <c r="E402" t="str">
        <f>"GAB2028007"</f>
        <v>GAB2028007</v>
      </c>
      <c r="F402" s="3">
        <v>45891</v>
      </c>
      <c r="G402">
        <v>202605</v>
      </c>
      <c r="H402" t="s">
        <v>75</v>
      </c>
      <c r="I402" t="s">
        <v>76</v>
      </c>
      <c r="J402" t="s">
        <v>77</v>
      </c>
      <c r="K402" t="s">
        <v>78</v>
      </c>
      <c r="L402" t="s">
        <v>444</v>
      </c>
      <c r="M402" t="s">
        <v>445</v>
      </c>
      <c r="N402" t="s">
        <v>446</v>
      </c>
      <c r="O402" t="s">
        <v>100</v>
      </c>
      <c r="P402" t="str">
        <f>"00038748 035713               "</f>
        <v xml:space="preserve">00038748 035713               </v>
      </c>
      <c r="Q402">
        <v>0</v>
      </c>
      <c r="R402">
        <v>0</v>
      </c>
      <c r="S402">
        <v>0</v>
      </c>
      <c r="T402">
        <v>0</v>
      </c>
      <c r="U402">
        <v>0</v>
      </c>
      <c r="V402">
        <v>0</v>
      </c>
      <c r="W402">
        <v>0</v>
      </c>
      <c r="X402">
        <v>0</v>
      </c>
      <c r="Y402">
        <v>0</v>
      </c>
      <c r="Z402">
        <v>0</v>
      </c>
      <c r="AA402">
        <v>0</v>
      </c>
      <c r="AB402">
        <v>0</v>
      </c>
      <c r="AC402">
        <v>0</v>
      </c>
      <c r="AD402">
        <v>0</v>
      </c>
      <c r="AE402">
        <v>0</v>
      </c>
      <c r="AF402">
        <v>0</v>
      </c>
      <c r="AG402">
        <v>0</v>
      </c>
      <c r="AH402">
        <v>0</v>
      </c>
      <c r="AI402">
        <v>0</v>
      </c>
      <c r="AJ402">
        <v>0</v>
      </c>
      <c r="AK402">
        <v>0</v>
      </c>
      <c r="AL402">
        <v>0</v>
      </c>
      <c r="AM402">
        <v>0</v>
      </c>
      <c r="AN402">
        <v>0</v>
      </c>
      <c r="AO402">
        <v>0</v>
      </c>
      <c r="AP402">
        <v>0</v>
      </c>
      <c r="AQ402">
        <v>44.73</v>
      </c>
      <c r="AR402">
        <v>0</v>
      </c>
      <c r="AS402">
        <v>0</v>
      </c>
      <c r="AT402">
        <v>0</v>
      </c>
      <c r="AU402">
        <v>0</v>
      </c>
      <c r="AV402">
        <v>0</v>
      </c>
      <c r="AW402">
        <v>0</v>
      </c>
      <c r="AX402">
        <v>0</v>
      </c>
      <c r="AY402">
        <v>0</v>
      </c>
      <c r="AZ402">
        <v>0</v>
      </c>
      <c r="BA402">
        <v>0</v>
      </c>
      <c r="BB402">
        <v>0</v>
      </c>
      <c r="BC402">
        <v>0</v>
      </c>
      <c r="BD402">
        <v>0</v>
      </c>
      <c r="BE402">
        <v>0</v>
      </c>
      <c r="BF402">
        <v>0</v>
      </c>
      <c r="BG402">
        <v>0</v>
      </c>
      <c r="BH402">
        <v>1</v>
      </c>
      <c r="BI402">
        <v>0.7</v>
      </c>
      <c r="BJ402">
        <v>1.9</v>
      </c>
      <c r="BK402">
        <v>2</v>
      </c>
      <c r="BL402">
        <v>138.88999999999999</v>
      </c>
      <c r="BM402">
        <v>20.83</v>
      </c>
      <c r="BN402">
        <v>159.72</v>
      </c>
      <c r="BO402">
        <v>159.72</v>
      </c>
      <c r="BQ402" t="s">
        <v>1325</v>
      </c>
      <c r="BR402" t="s">
        <v>84</v>
      </c>
      <c r="BS402" s="3">
        <v>45895</v>
      </c>
      <c r="BT402" s="4">
        <v>0.3611111111111111</v>
      </c>
      <c r="BU402" t="s">
        <v>1326</v>
      </c>
      <c r="BV402" t="s">
        <v>86</v>
      </c>
      <c r="BY402">
        <v>9302.4</v>
      </c>
      <c r="BZ402" t="s">
        <v>102</v>
      </c>
      <c r="CA402" t="s">
        <v>449</v>
      </c>
      <c r="CC402" t="s">
        <v>445</v>
      </c>
      <c r="CD402" s="5" t="s">
        <v>450</v>
      </c>
      <c r="CE402" t="s">
        <v>164</v>
      </c>
      <c r="CF402" s="3">
        <v>45896</v>
      </c>
      <c r="CI402">
        <v>2</v>
      </c>
      <c r="CJ402">
        <v>2</v>
      </c>
      <c r="CK402">
        <v>23</v>
      </c>
      <c r="CL402" t="s">
        <v>90</v>
      </c>
    </row>
    <row r="403" spans="1:90" x14ac:dyDescent="0.3">
      <c r="A403" t="s">
        <v>72</v>
      </c>
      <c r="B403" t="s">
        <v>73</v>
      </c>
      <c r="C403" t="s">
        <v>74</v>
      </c>
      <c r="E403" t="str">
        <f>"GAB2028009"</f>
        <v>GAB2028009</v>
      </c>
      <c r="F403" s="3">
        <v>45891</v>
      </c>
      <c r="G403">
        <v>202605</v>
      </c>
      <c r="H403" t="s">
        <v>75</v>
      </c>
      <c r="I403" t="s">
        <v>76</v>
      </c>
      <c r="J403" t="s">
        <v>77</v>
      </c>
      <c r="K403" t="s">
        <v>78</v>
      </c>
      <c r="L403" t="s">
        <v>79</v>
      </c>
      <c r="M403" t="s">
        <v>80</v>
      </c>
      <c r="N403" t="s">
        <v>1327</v>
      </c>
      <c r="O403" t="s">
        <v>100</v>
      </c>
      <c r="P403" t="str">
        <f>"INVOICE INGM00120328 CT096743 "</f>
        <v xml:space="preserve">INVOICE INGM00120328 CT096743 </v>
      </c>
      <c r="Q403">
        <v>0</v>
      </c>
      <c r="R403">
        <v>0</v>
      </c>
      <c r="S403">
        <v>0</v>
      </c>
      <c r="T403">
        <v>0</v>
      </c>
      <c r="U403">
        <v>0</v>
      </c>
      <c r="V403">
        <v>0</v>
      </c>
      <c r="W403">
        <v>0</v>
      </c>
      <c r="X403">
        <v>0</v>
      </c>
      <c r="Y403">
        <v>0</v>
      </c>
      <c r="Z403">
        <v>0</v>
      </c>
      <c r="AA403">
        <v>0</v>
      </c>
      <c r="AB403">
        <v>0</v>
      </c>
      <c r="AC403">
        <v>0</v>
      </c>
      <c r="AD403">
        <v>0</v>
      </c>
      <c r="AE403">
        <v>0</v>
      </c>
      <c r="AF403">
        <v>0</v>
      </c>
      <c r="AG403">
        <v>0</v>
      </c>
      <c r="AH403">
        <v>0</v>
      </c>
      <c r="AI403">
        <v>0</v>
      </c>
      <c r="AJ403">
        <v>0</v>
      </c>
      <c r="AK403">
        <v>0</v>
      </c>
      <c r="AL403">
        <v>0</v>
      </c>
      <c r="AM403">
        <v>0</v>
      </c>
      <c r="AN403">
        <v>0</v>
      </c>
      <c r="AO403">
        <v>0</v>
      </c>
      <c r="AP403">
        <v>0</v>
      </c>
      <c r="AQ403">
        <v>28.85</v>
      </c>
      <c r="AR403">
        <v>0</v>
      </c>
      <c r="AS403">
        <v>0</v>
      </c>
      <c r="AT403">
        <v>0</v>
      </c>
      <c r="AU403">
        <v>0</v>
      </c>
      <c r="AV403">
        <v>0</v>
      </c>
      <c r="AW403">
        <v>0</v>
      </c>
      <c r="AX403">
        <v>0</v>
      </c>
      <c r="AY403">
        <v>0</v>
      </c>
      <c r="AZ403">
        <v>0</v>
      </c>
      <c r="BA403">
        <v>0</v>
      </c>
      <c r="BB403">
        <v>0</v>
      </c>
      <c r="BC403">
        <v>0</v>
      </c>
      <c r="BD403">
        <v>0</v>
      </c>
      <c r="BE403">
        <v>0</v>
      </c>
      <c r="BF403">
        <v>0</v>
      </c>
      <c r="BG403">
        <v>0</v>
      </c>
      <c r="BH403">
        <v>1</v>
      </c>
      <c r="BI403">
        <v>0.5</v>
      </c>
      <c r="BJ403">
        <v>2.2999999999999998</v>
      </c>
      <c r="BK403">
        <v>2.5</v>
      </c>
      <c r="BL403">
        <v>89.59</v>
      </c>
      <c r="BM403">
        <v>13.44</v>
      </c>
      <c r="BN403">
        <v>103.03</v>
      </c>
      <c r="BO403">
        <v>103.03</v>
      </c>
      <c r="BQ403" t="s">
        <v>1328</v>
      </c>
      <c r="BR403" t="s">
        <v>84</v>
      </c>
      <c r="BS403" s="3">
        <v>45894</v>
      </c>
      <c r="BT403" s="4">
        <v>0.40347222222222223</v>
      </c>
      <c r="BU403" t="s">
        <v>1329</v>
      </c>
      <c r="BV403" t="s">
        <v>86</v>
      </c>
      <c r="BY403">
        <v>11366.55</v>
      </c>
      <c r="BZ403" t="s">
        <v>102</v>
      </c>
      <c r="CA403" t="s">
        <v>1330</v>
      </c>
      <c r="CC403" t="s">
        <v>80</v>
      </c>
      <c r="CD403" s="5" t="s">
        <v>237</v>
      </c>
      <c r="CE403" t="s">
        <v>1331</v>
      </c>
      <c r="CF403" s="3">
        <v>45894</v>
      </c>
      <c r="CI403">
        <v>1</v>
      </c>
      <c r="CJ403">
        <v>1</v>
      </c>
      <c r="CK403">
        <v>21</v>
      </c>
      <c r="CL403" t="s">
        <v>90</v>
      </c>
    </row>
    <row r="404" spans="1:90" x14ac:dyDescent="0.3">
      <c r="A404" t="s">
        <v>72</v>
      </c>
      <c r="B404" t="s">
        <v>73</v>
      </c>
      <c r="C404" t="s">
        <v>74</v>
      </c>
      <c r="E404" t="str">
        <f>"GAB2028010"</f>
        <v>GAB2028010</v>
      </c>
      <c r="F404" s="3">
        <v>45891</v>
      </c>
      <c r="G404">
        <v>202605</v>
      </c>
      <c r="H404" t="s">
        <v>75</v>
      </c>
      <c r="I404" t="s">
        <v>76</v>
      </c>
      <c r="J404" t="s">
        <v>77</v>
      </c>
      <c r="K404" t="s">
        <v>78</v>
      </c>
      <c r="L404" t="s">
        <v>177</v>
      </c>
      <c r="M404" t="s">
        <v>178</v>
      </c>
      <c r="N404" t="s">
        <v>1332</v>
      </c>
      <c r="O404" t="s">
        <v>100</v>
      </c>
      <c r="P404" t="str">
        <f>"00038747 035703               "</f>
        <v xml:space="preserve">00038747 035703               </v>
      </c>
      <c r="Q404">
        <v>0</v>
      </c>
      <c r="R404">
        <v>0</v>
      </c>
      <c r="S404">
        <v>0</v>
      </c>
      <c r="T404">
        <v>0</v>
      </c>
      <c r="U404">
        <v>0</v>
      </c>
      <c r="V404">
        <v>0</v>
      </c>
      <c r="W404">
        <v>0</v>
      </c>
      <c r="X404">
        <v>0</v>
      </c>
      <c r="Y404">
        <v>0</v>
      </c>
      <c r="Z404">
        <v>0</v>
      </c>
      <c r="AA404">
        <v>0</v>
      </c>
      <c r="AB404">
        <v>0</v>
      </c>
      <c r="AC404">
        <v>0</v>
      </c>
      <c r="AD404">
        <v>0</v>
      </c>
      <c r="AE404">
        <v>0</v>
      </c>
      <c r="AF404">
        <v>0</v>
      </c>
      <c r="AG404">
        <v>0</v>
      </c>
      <c r="AH404">
        <v>0</v>
      </c>
      <c r="AI404">
        <v>0</v>
      </c>
      <c r="AJ404">
        <v>0</v>
      </c>
      <c r="AK404">
        <v>0</v>
      </c>
      <c r="AL404">
        <v>0</v>
      </c>
      <c r="AM404">
        <v>0</v>
      </c>
      <c r="AN404">
        <v>0</v>
      </c>
      <c r="AO404">
        <v>0</v>
      </c>
      <c r="AP404">
        <v>0</v>
      </c>
      <c r="AQ404">
        <v>44.73</v>
      </c>
      <c r="AR404">
        <v>0</v>
      </c>
      <c r="AS404">
        <v>0</v>
      </c>
      <c r="AT404">
        <v>0</v>
      </c>
      <c r="AU404">
        <v>0</v>
      </c>
      <c r="AV404">
        <v>0</v>
      </c>
      <c r="AW404">
        <v>0</v>
      </c>
      <c r="AX404">
        <v>0</v>
      </c>
      <c r="AY404">
        <v>0</v>
      </c>
      <c r="AZ404">
        <v>0</v>
      </c>
      <c r="BA404">
        <v>0</v>
      </c>
      <c r="BB404">
        <v>0</v>
      </c>
      <c r="BC404">
        <v>0</v>
      </c>
      <c r="BD404">
        <v>0</v>
      </c>
      <c r="BE404">
        <v>0</v>
      </c>
      <c r="BF404">
        <v>0</v>
      </c>
      <c r="BG404">
        <v>0</v>
      </c>
      <c r="BH404">
        <v>1</v>
      </c>
      <c r="BI404">
        <v>0.4</v>
      </c>
      <c r="BJ404">
        <v>1.9</v>
      </c>
      <c r="BK404">
        <v>2</v>
      </c>
      <c r="BL404">
        <v>138.88999999999999</v>
      </c>
      <c r="BM404">
        <v>20.83</v>
      </c>
      <c r="BN404">
        <v>159.72</v>
      </c>
      <c r="BO404">
        <v>159.72</v>
      </c>
      <c r="BQ404" t="s">
        <v>953</v>
      </c>
      <c r="BR404" t="s">
        <v>84</v>
      </c>
      <c r="BS404" s="3">
        <v>45894</v>
      </c>
      <c r="BT404" s="4">
        <v>0.4375</v>
      </c>
      <c r="BU404" t="s">
        <v>954</v>
      </c>
      <c r="BV404" t="s">
        <v>86</v>
      </c>
      <c r="BY404">
        <v>9443.5</v>
      </c>
      <c r="BZ404" t="s">
        <v>102</v>
      </c>
      <c r="CA404" t="s">
        <v>565</v>
      </c>
      <c r="CC404" t="s">
        <v>178</v>
      </c>
      <c r="CD404">
        <v>1035</v>
      </c>
      <c r="CE404" t="s">
        <v>109</v>
      </c>
      <c r="CF404" s="3">
        <v>45895</v>
      </c>
      <c r="CI404">
        <v>1</v>
      </c>
      <c r="CJ404">
        <v>1</v>
      </c>
      <c r="CK404">
        <v>23</v>
      </c>
      <c r="CL404" t="s">
        <v>90</v>
      </c>
    </row>
    <row r="405" spans="1:90" x14ac:dyDescent="0.3">
      <c r="A405" t="s">
        <v>72</v>
      </c>
      <c r="B405" t="s">
        <v>73</v>
      </c>
      <c r="C405" t="s">
        <v>74</v>
      </c>
      <c r="E405" t="str">
        <f>"GAB2028011"</f>
        <v>GAB2028011</v>
      </c>
      <c r="F405" s="3">
        <v>45891</v>
      </c>
      <c r="G405">
        <v>202605</v>
      </c>
      <c r="H405" t="s">
        <v>75</v>
      </c>
      <c r="I405" t="s">
        <v>76</v>
      </c>
      <c r="J405" t="s">
        <v>77</v>
      </c>
      <c r="K405" t="s">
        <v>78</v>
      </c>
      <c r="L405" t="s">
        <v>345</v>
      </c>
      <c r="M405" t="s">
        <v>346</v>
      </c>
      <c r="N405" t="s">
        <v>1333</v>
      </c>
      <c r="O405" t="s">
        <v>100</v>
      </c>
      <c r="P405" t="str">
        <f>"00038746 035498               "</f>
        <v xml:space="preserve">00038746 035498               </v>
      </c>
      <c r="Q405">
        <v>0</v>
      </c>
      <c r="R405">
        <v>0</v>
      </c>
      <c r="S405">
        <v>0</v>
      </c>
      <c r="T405">
        <v>0</v>
      </c>
      <c r="U405">
        <v>0</v>
      </c>
      <c r="V405">
        <v>0</v>
      </c>
      <c r="W405">
        <v>0</v>
      </c>
      <c r="X405">
        <v>0</v>
      </c>
      <c r="Y405">
        <v>0</v>
      </c>
      <c r="Z405">
        <v>0</v>
      </c>
      <c r="AA405">
        <v>0</v>
      </c>
      <c r="AB405">
        <v>0</v>
      </c>
      <c r="AC405">
        <v>0</v>
      </c>
      <c r="AD405">
        <v>0</v>
      </c>
      <c r="AE405">
        <v>0</v>
      </c>
      <c r="AF405">
        <v>0</v>
      </c>
      <c r="AG405">
        <v>0</v>
      </c>
      <c r="AH405">
        <v>0</v>
      </c>
      <c r="AI405">
        <v>0</v>
      </c>
      <c r="AJ405">
        <v>0</v>
      </c>
      <c r="AK405">
        <v>0</v>
      </c>
      <c r="AL405">
        <v>0</v>
      </c>
      <c r="AM405">
        <v>0</v>
      </c>
      <c r="AN405">
        <v>0</v>
      </c>
      <c r="AO405">
        <v>0</v>
      </c>
      <c r="AP405">
        <v>0</v>
      </c>
      <c r="AQ405">
        <v>28.85</v>
      </c>
      <c r="AR405">
        <v>0</v>
      </c>
      <c r="AS405">
        <v>0</v>
      </c>
      <c r="AT405">
        <v>0</v>
      </c>
      <c r="AU405">
        <v>0</v>
      </c>
      <c r="AV405">
        <v>0</v>
      </c>
      <c r="AW405">
        <v>0</v>
      </c>
      <c r="AX405">
        <v>0</v>
      </c>
      <c r="AY405">
        <v>0</v>
      </c>
      <c r="AZ405">
        <v>0</v>
      </c>
      <c r="BA405">
        <v>0</v>
      </c>
      <c r="BB405">
        <v>0</v>
      </c>
      <c r="BC405">
        <v>0</v>
      </c>
      <c r="BD405">
        <v>0</v>
      </c>
      <c r="BE405">
        <v>0</v>
      </c>
      <c r="BF405">
        <v>0</v>
      </c>
      <c r="BG405">
        <v>0</v>
      </c>
      <c r="BH405">
        <v>1</v>
      </c>
      <c r="BI405">
        <v>0.2</v>
      </c>
      <c r="BJ405">
        <v>2.1</v>
      </c>
      <c r="BK405">
        <v>2.5</v>
      </c>
      <c r="BL405">
        <v>89.59</v>
      </c>
      <c r="BM405">
        <v>13.44</v>
      </c>
      <c r="BN405">
        <v>103.03</v>
      </c>
      <c r="BO405">
        <v>103.03</v>
      </c>
      <c r="BQ405" t="s">
        <v>1334</v>
      </c>
      <c r="BR405" t="s">
        <v>84</v>
      </c>
      <c r="BS405" s="3">
        <v>45894</v>
      </c>
      <c r="BT405" s="4">
        <v>0.42083333333333334</v>
      </c>
      <c r="BU405" t="s">
        <v>1335</v>
      </c>
      <c r="BV405" t="s">
        <v>86</v>
      </c>
      <c r="BY405">
        <v>10258.92</v>
      </c>
      <c r="BZ405" t="s">
        <v>102</v>
      </c>
      <c r="CC405" t="s">
        <v>346</v>
      </c>
      <c r="CD405">
        <v>9301</v>
      </c>
      <c r="CE405" t="s">
        <v>297</v>
      </c>
      <c r="CF405" s="3">
        <v>45895</v>
      </c>
      <c r="CI405">
        <v>2</v>
      </c>
      <c r="CJ405">
        <v>1</v>
      </c>
      <c r="CK405">
        <v>21</v>
      </c>
      <c r="CL405" t="s">
        <v>90</v>
      </c>
    </row>
    <row r="406" spans="1:90" x14ac:dyDescent="0.3">
      <c r="A406" t="s">
        <v>72</v>
      </c>
      <c r="B406" t="s">
        <v>73</v>
      </c>
      <c r="C406" t="s">
        <v>74</v>
      </c>
      <c r="E406" t="str">
        <f>"GAB2028012"</f>
        <v>GAB2028012</v>
      </c>
      <c r="F406" s="3">
        <v>45891</v>
      </c>
      <c r="G406">
        <v>202605</v>
      </c>
      <c r="H406" t="s">
        <v>75</v>
      </c>
      <c r="I406" t="s">
        <v>76</v>
      </c>
      <c r="J406" t="s">
        <v>77</v>
      </c>
      <c r="K406" t="s">
        <v>78</v>
      </c>
      <c r="L406" t="s">
        <v>75</v>
      </c>
      <c r="M406" t="s">
        <v>76</v>
      </c>
      <c r="N406" t="s">
        <v>1336</v>
      </c>
      <c r="O406" t="s">
        <v>100</v>
      </c>
      <c r="P406" t="str">
        <f>"00120351 096768               "</f>
        <v xml:space="preserve">00120351 096768               </v>
      </c>
      <c r="Q406">
        <v>0</v>
      </c>
      <c r="R406">
        <v>0</v>
      </c>
      <c r="S406">
        <v>0</v>
      </c>
      <c r="T406">
        <v>0</v>
      </c>
      <c r="U406">
        <v>0</v>
      </c>
      <c r="V406">
        <v>0</v>
      </c>
      <c r="W406">
        <v>0</v>
      </c>
      <c r="X406">
        <v>0</v>
      </c>
      <c r="Y406">
        <v>0</v>
      </c>
      <c r="Z406">
        <v>0</v>
      </c>
      <c r="AA406">
        <v>0</v>
      </c>
      <c r="AB406">
        <v>0</v>
      </c>
      <c r="AC406">
        <v>0</v>
      </c>
      <c r="AD406">
        <v>0</v>
      </c>
      <c r="AE406">
        <v>0</v>
      </c>
      <c r="AF406">
        <v>0</v>
      </c>
      <c r="AG406">
        <v>0</v>
      </c>
      <c r="AH406">
        <v>0</v>
      </c>
      <c r="AI406">
        <v>0</v>
      </c>
      <c r="AJ406">
        <v>0</v>
      </c>
      <c r="AK406">
        <v>0</v>
      </c>
      <c r="AL406">
        <v>0</v>
      </c>
      <c r="AM406">
        <v>0</v>
      </c>
      <c r="AN406">
        <v>0</v>
      </c>
      <c r="AO406">
        <v>0</v>
      </c>
      <c r="AP406">
        <v>0</v>
      </c>
      <c r="AQ406">
        <v>18.03</v>
      </c>
      <c r="AR406">
        <v>0</v>
      </c>
      <c r="AS406">
        <v>0</v>
      </c>
      <c r="AT406">
        <v>0</v>
      </c>
      <c r="AU406">
        <v>0</v>
      </c>
      <c r="AV406">
        <v>0</v>
      </c>
      <c r="AW406">
        <v>0</v>
      </c>
      <c r="AX406">
        <v>0</v>
      </c>
      <c r="AY406">
        <v>0</v>
      </c>
      <c r="AZ406">
        <v>0</v>
      </c>
      <c r="BA406">
        <v>0</v>
      </c>
      <c r="BB406">
        <v>0</v>
      </c>
      <c r="BC406">
        <v>0</v>
      </c>
      <c r="BD406">
        <v>0</v>
      </c>
      <c r="BE406">
        <v>0</v>
      </c>
      <c r="BF406">
        <v>0</v>
      </c>
      <c r="BG406">
        <v>0</v>
      </c>
      <c r="BH406">
        <v>1</v>
      </c>
      <c r="BI406">
        <v>0.3</v>
      </c>
      <c r="BJ406">
        <v>2.1</v>
      </c>
      <c r="BK406">
        <v>3</v>
      </c>
      <c r="BL406">
        <v>55.99</v>
      </c>
      <c r="BM406">
        <v>8.4</v>
      </c>
      <c r="BN406">
        <v>64.39</v>
      </c>
      <c r="BO406">
        <v>64.39</v>
      </c>
      <c r="BQ406" t="s">
        <v>853</v>
      </c>
      <c r="BR406" t="s">
        <v>84</v>
      </c>
      <c r="BS406" s="3">
        <v>45894</v>
      </c>
      <c r="BT406" s="4">
        <v>0.42430555555555555</v>
      </c>
      <c r="BU406" t="s">
        <v>1337</v>
      </c>
      <c r="BV406" t="s">
        <v>86</v>
      </c>
      <c r="BY406">
        <v>10370.879999999999</v>
      </c>
      <c r="BZ406" t="s">
        <v>102</v>
      </c>
      <c r="CA406" t="s">
        <v>1338</v>
      </c>
      <c r="CC406" t="s">
        <v>76</v>
      </c>
      <c r="CD406">
        <v>7550</v>
      </c>
      <c r="CE406" t="s">
        <v>686</v>
      </c>
      <c r="CF406" s="3">
        <v>45895</v>
      </c>
      <c r="CI406">
        <v>1</v>
      </c>
      <c r="CJ406">
        <v>1</v>
      </c>
      <c r="CK406">
        <v>22</v>
      </c>
      <c r="CL406" t="s">
        <v>90</v>
      </c>
    </row>
    <row r="407" spans="1:90" x14ac:dyDescent="0.3">
      <c r="A407" t="s">
        <v>72</v>
      </c>
      <c r="B407" t="s">
        <v>73</v>
      </c>
      <c r="C407" t="s">
        <v>74</v>
      </c>
      <c r="E407" t="str">
        <f>"GAB2028013"</f>
        <v>GAB2028013</v>
      </c>
      <c r="F407" s="3">
        <v>45891</v>
      </c>
      <c r="G407">
        <v>202605</v>
      </c>
      <c r="H407" t="s">
        <v>75</v>
      </c>
      <c r="I407" t="s">
        <v>76</v>
      </c>
      <c r="J407" t="s">
        <v>77</v>
      </c>
      <c r="K407" t="s">
        <v>78</v>
      </c>
      <c r="L407" t="s">
        <v>693</v>
      </c>
      <c r="M407" t="s">
        <v>694</v>
      </c>
      <c r="N407" t="s">
        <v>695</v>
      </c>
      <c r="O407" t="s">
        <v>100</v>
      </c>
      <c r="P407" t="str">
        <f>"00120352 096767               "</f>
        <v xml:space="preserve">00120352 096767               </v>
      </c>
      <c r="Q407">
        <v>0</v>
      </c>
      <c r="R407">
        <v>0</v>
      </c>
      <c r="S407">
        <v>0</v>
      </c>
      <c r="T407">
        <v>0</v>
      </c>
      <c r="U407">
        <v>0</v>
      </c>
      <c r="V407">
        <v>0</v>
      </c>
      <c r="W407">
        <v>0</v>
      </c>
      <c r="X407">
        <v>0</v>
      </c>
      <c r="Y407">
        <v>0</v>
      </c>
      <c r="Z407">
        <v>0</v>
      </c>
      <c r="AA407">
        <v>0</v>
      </c>
      <c r="AB407">
        <v>0</v>
      </c>
      <c r="AC407">
        <v>0</v>
      </c>
      <c r="AD407">
        <v>0</v>
      </c>
      <c r="AE407">
        <v>0</v>
      </c>
      <c r="AF407">
        <v>0</v>
      </c>
      <c r="AG407">
        <v>0</v>
      </c>
      <c r="AH407">
        <v>0</v>
      </c>
      <c r="AI407">
        <v>0</v>
      </c>
      <c r="AJ407">
        <v>0</v>
      </c>
      <c r="AK407">
        <v>0</v>
      </c>
      <c r="AL407">
        <v>0</v>
      </c>
      <c r="AM407">
        <v>0</v>
      </c>
      <c r="AN407">
        <v>0</v>
      </c>
      <c r="AO407">
        <v>0</v>
      </c>
      <c r="AP407">
        <v>0</v>
      </c>
      <c r="AQ407">
        <v>54.82</v>
      </c>
      <c r="AR407">
        <v>0</v>
      </c>
      <c r="AS407">
        <v>0</v>
      </c>
      <c r="AT407">
        <v>0</v>
      </c>
      <c r="AU407">
        <v>0</v>
      </c>
      <c r="AV407">
        <v>0</v>
      </c>
      <c r="AW407">
        <v>0</v>
      </c>
      <c r="AX407">
        <v>0</v>
      </c>
      <c r="AY407">
        <v>0</v>
      </c>
      <c r="AZ407">
        <v>0</v>
      </c>
      <c r="BA407">
        <v>0</v>
      </c>
      <c r="BB407">
        <v>0</v>
      </c>
      <c r="BC407">
        <v>0</v>
      </c>
      <c r="BD407">
        <v>0</v>
      </c>
      <c r="BE407">
        <v>0</v>
      </c>
      <c r="BF407">
        <v>0</v>
      </c>
      <c r="BG407">
        <v>0</v>
      </c>
      <c r="BH407">
        <v>1</v>
      </c>
      <c r="BI407">
        <v>0.4</v>
      </c>
      <c r="BJ407">
        <v>2.5</v>
      </c>
      <c r="BK407">
        <v>2.5</v>
      </c>
      <c r="BL407">
        <v>170.24</v>
      </c>
      <c r="BM407">
        <v>25.54</v>
      </c>
      <c r="BN407">
        <v>195.78</v>
      </c>
      <c r="BO407">
        <v>195.78</v>
      </c>
      <c r="BQ407" t="s">
        <v>971</v>
      </c>
      <c r="BR407" t="s">
        <v>84</v>
      </c>
      <c r="BS407" s="3">
        <v>45894</v>
      </c>
      <c r="BT407" s="4">
        <v>0.38541666666666669</v>
      </c>
      <c r="BU407" t="s">
        <v>1339</v>
      </c>
      <c r="BV407" t="s">
        <v>86</v>
      </c>
      <c r="BY407">
        <v>12672</v>
      </c>
      <c r="BZ407" t="s">
        <v>102</v>
      </c>
      <c r="CA407" t="s">
        <v>974</v>
      </c>
      <c r="CC407" t="s">
        <v>694</v>
      </c>
      <c r="CD407">
        <v>2515</v>
      </c>
      <c r="CE407" t="s">
        <v>797</v>
      </c>
      <c r="CF407" s="3">
        <v>45894</v>
      </c>
      <c r="CI407">
        <v>1</v>
      </c>
      <c r="CJ407">
        <v>1</v>
      </c>
      <c r="CK407">
        <v>23</v>
      </c>
      <c r="CL407" t="s">
        <v>90</v>
      </c>
    </row>
    <row r="408" spans="1:90" x14ac:dyDescent="0.3">
      <c r="A408" t="s">
        <v>72</v>
      </c>
      <c r="B408" t="s">
        <v>73</v>
      </c>
      <c r="C408" t="s">
        <v>74</v>
      </c>
      <c r="E408" t="str">
        <f>"GAB2028014"</f>
        <v>GAB2028014</v>
      </c>
      <c r="F408" s="3">
        <v>45891</v>
      </c>
      <c r="G408">
        <v>202605</v>
      </c>
      <c r="H408" t="s">
        <v>75</v>
      </c>
      <c r="I408" t="s">
        <v>76</v>
      </c>
      <c r="J408" t="s">
        <v>77</v>
      </c>
      <c r="K408" t="s">
        <v>78</v>
      </c>
      <c r="L408" t="s">
        <v>298</v>
      </c>
      <c r="M408" t="s">
        <v>299</v>
      </c>
      <c r="N408" t="s">
        <v>300</v>
      </c>
      <c r="O408" t="s">
        <v>100</v>
      </c>
      <c r="P408" t="str">
        <f>"00120353 096759               "</f>
        <v xml:space="preserve">00120353 096759               </v>
      </c>
      <c r="Q408">
        <v>0</v>
      </c>
      <c r="R408">
        <v>0</v>
      </c>
      <c r="S408">
        <v>0</v>
      </c>
      <c r="T408">
        <v>0</v>
      </c>
      <c r="U408">
        <v>0</v>
      </c>
      <c r="V408">
        <v>0</v>
      </c>
      <c r="W408">
        <v>0</v>
      </c>
      <c r="X408">
        <v>0</v>
      </c>
      <c r="Y408">
        <v>0</v>
      </c>
      <c r="Z408">
        <v>0</v>
      </c>
      <c r="AA408">
        <v>0</v>
      </c>
      <c r="AB408">
        <v>0</v>
      </c>
      <c r="AC408">
        <v>0</v>
      </c>
      <c r="AD408">
        <v>0</v>
      </c>
      <c r="AE408">
        <v>0</v>
      </c>
      <c r="AF408">
        <v>0</v>
      </c>
      <c r="AG408">
        <v>0</v>
      </c>
      <c r="AH408">
        <v>0</v>
      </c>
      <c r="AI408">
        <v>0</v>
      </c>
      <c r="AJ408">
        <v>0</v>
      </c>
      <c r="AK408">
        <v>0</v>
      </c>
      <c r="AL408">
        <v>0</v>
      </c>
      <c r="AM408">
        <v>0</v>
      </c>
      <c r="AN408">
        <v>0</v>
      </c>
      <c r="AO408">
        <v>0</v>
      </c>
      <c r="AP408">
        <v>0</v>
      </c>
      <c r="AQ408">
        <v>75.02</v>
      </c>
      <c r="AR408">
        <v>0</v>
      </c>
      <c r="AS408">
        <v>0</v>
      </c>
      <c r="AT408">
        <v>0</v>
      </c>
      <c r="AU408">
        <v>0</v>
      </c>
      <c r="AV408">
        <v>0</v>
      </c>
      <c r="AW408">
        <v>0</v>
      </c>
      <c r="AX408">
        <v>0</v>
      </c>
      <c r="AY408">
        <v>0</v>
      </c>
      <c r="AZ408">
        <v>0</v>
      </c>
      <c r="BA408">
        <v>0</v>
      </c>
      <c r="BB408">
        <v>0</v>
      </c>
      <c r="BC408">
        <v>0</v>
      </c>
      <c r="BD408">
        <v>0</v>
      </c>
      <c r="BE408">
        <v>0</v>
      </c>
      <c r="BF408">
        <v>0</v>
      </c>
      <c r="BG408">
        <v>0</v>
      </c>
      <c r="BH408">
        <v>1</v>
      </c>
      <c r="BI408">
        <v>0.4</v>
      </c>
      <c r="BJ408">
        <v>3.5</v>
      </c>
      <c r="BK408">
        <v>3.5</v>
      </c>
      <c r="BL408">
        <v>232.96</v>
      </c>
      <c r="BM408">
        <v>34.94</v>
      </c>
      <c r="BN408">
        <v>267.89999999999998</v>
      </c>
      <c r="BO408">
        <v>267.89999999999998</v>
      </c>
      <c r="BQ408" t="s">
        <v>1340</v>
      </c>
      <c r="BR408" t="s">
        <v>84</v>
      </c>
      <c r="BS408" s="3">
        <v>45896</v>
      </c>
      <c r="BT408" s="4">
        <v>0.65486111111111112</v>
      </c>
      <c r="BU408" t="s">
        <v>1341</v>
      </c>
      <c r="BV408" t="s">
        <v>86</v>
      </c>
      <c r="BY408">
        <v>17501.5</v>
      </c>
      <c r="BZ408" t="s">
        <v>102</v>
      </c>
      <c r="CA408" t="s">
        <v>898</v>
      </c>
      <c r="CC408" t="s">
        <v>299</v>
      </c>
      <c r="CD408">
        <v>8800</v>
      </c>
      <c r="CE408" t="s">
        <v>797</v>
      </c>
      <c r="CF408" s="3">
        <v>45897</v>
      </c>
      <c r="CI408">
        <v>3</v>
      </c>
      <c r="CJ408">
        <v>3</v>
      </c>
      <c r="CK408">
        <v>23</v>
      </c>
      <c r="CL408" t="s">
        <v>90</v>
      </c>
    </row>
    <row r="409" spans="1:90" x14ac:dyDescent="0.3">
      <c r="A409" t="s">
        <v>72</v>
      </c>
      <c r="B409" t="s">
        <v>73</v>
      </c>
      <c r="C409" t="s">
        <v>74</v>
      </c>
      <c r="E409" t="str">
        <f>"GAB2028015"</f>
        <v>GAB2028015</v>
      </c>
      <c r="F409" s="3">
        <v>45891</v>
      </c>
      <c r="G409">
        <v>202605</v>
      </c>
      <c r="H409" t="s">
        <v>75</v>
      </c>
      <c r="I409" t="s">
        <v>76</v>
      </c>
      <c r="J409" t="s">
        <v>77</v>
      </c>
      <c r="K409" t="s">
        <v>78</v>
      </c>
      <c r="L409" t="s">
        <v>159</v>
      </c>
      <c r="M409" t="s">
        <v>159</v>
      </c>
      <c r="N409" t="s">
        <v>269</v>
      </c>
      <c r="O409" t="s">
        <v>100</v>
      </c>
      <c r="P409" t="str">
        <f>"00120354 096760               "</f>
        <v xml:space="preserve">00120354 096760               </v>
      </c>
      <c r="Q409">
        <v>0</v>
      </c>
      <c r="R409">
        <v>0</v>
      </c>
      <c r="S409">
        <v>0</v>
      </c>
      <c r="T409">
        <v>0</v>
      </c>
      <c r="U409">
        <v>0</v>
      </c>
      <c r="V409">
        <v>0</v>
      </c>
      <c r="W409">
        <v>0</v>
      </c>
      <c r="X409">
        <v>0</v>
      </c>
      <c r="Y409">
        <v>0</v>
      </c>
      <c r="Z409">
        <v>0</v>
      </c>
      <c r="AA409">
        <v>0</v>
      </c>
      <c r="AB409">
        <v>0</v>
      </c>
      <c r="AC409">
        <v>0</v>
      </c>
      <c r="AD409">
        <v>0</v>
      </c>
      <c r="AE409">
        <v>0</v>
      </c>
      <c r="AF409">
        <v>0</v>
      </c>
      <c r="AG409">
        <v>0</v>
      </c>
      <c r="AH409">
        <v>0</v>
      </c>
      <c r="AI409">
        <v>0</v>
      </c>
      <c r="AJ409">
        <v>0</v>
      </c>
      <c r="AK409">
        <v>0</v>
      </c>
      <c r="AL409">
        <v>0</v>
      </c>
      <c r="AM409">
        <v>0</v>
      </c>
      <c r="AN409">
        <v>0</v>
      </c>
      <c r="AO409">
        <v>0</v>
      </c>
      <c r="AP409">
        <v>0</v>
      </c>
      <c r="AQ409">
        <v>32.47</v>
      </c>
      <c r="AR409">
        <v>0</v>
      </c>
      <c r="AS409">
        <v>0</v>
      </c>
      <c r="AT409">
        <v>0</v>
      </c>
      <c r="AU409">
        <v>0</v>
      </c>
      <c r="AV409">
        <v>0</v>
      </c>
      <c r="AW409">
        <v>0</v>
      </c>
      <c r="AX409">
        <v>0</v>
      </c>
      <c r="AY409">
        <v>0</v>
      </c>
      <c r="AZ409">
        <v>0</v>
      </c>
      <c r="BA409">
        <v>0</v>
      </c>
      <c r="BB409">
        <v>0</v>
      </c>
      <c r="BC409">
        <v>0</v>
      </c>
      <c r="BD409">
        <v>0</v>
      </c>
      <c r="BE409">
        <v>0</v>
      </c>
      <c r="BF409">
        <v>0</v>
      </c>
      <c r="BG409">
        <v>0</v>
      </c>
      <c r="BH409">
        <v>1</v>
      </c>
      <c r="BI409">
        <v>0.4</v>
      </c>
      <c r="BJ409">
        <v>1.8</v>
      </c>
      <c r="BK409">
        <v>2</v>
      </c>
      <c r="BL409">
        <v>100.82</v>
      </c>
      <c r="BM409">
        <v>15.12</v>
      </c>
      <c r="BN409">
        <v>115.94</v>
      </c>
      <c r="BO409">
        <v>115.94</v>
      </c>
      <c r="BQ409" t="s">
        <v>780</v>
      </c>
      <c r="BR409" t="s">
        <v>84</v>
      </c>
      <c r="BS409" s="3">
        <v>45894</v>
      </c>
      <c r="BT409" s="4">
        <v>0.50416666666666665</v>
      </c>
      <c r="BU409" t="s">
        <v>975</v>
      </c>
      <c r="BV409" t="s">
        <v>86</v>
      </c>
      <c r="BY409">
        <v>9011.25</v>
      </c>
      <c r="BZ409" t="s">
        <v>102</v>
      </c>
      <c r="CA409" t="s">
        <v>272</v>
      </c>
      <c r="CC409" t="s">
        <v>159</v>
      </c>
      <c r="CD409">
        <v>7646</v>
      </c>
      <c r="CE409" t="s">
        <v>1342</v>
      </c>
      <c r="CF409" s="3">
        <v>45895</v>
      </c>
      <c r="CI409">
        <v>1</v>
      </c>
      <c r="CJ409">
        <v>1</v>
      </c>
      <c r="CK409">
        <v>24</v>
      </c>
      <c r="CL409" t="s">
        <v>90</v>
      </c>
    </row>
    <row r="410" spans="1:90" x14ac:dyDescent="0.3">
      <c r="A410" t="s">
        <v>72</v>
      </c>
      <c r="B410" t="s">
        <v>73</v>
      </c>
      <c r="C410" t="s">
        <v>74</v>
      </c>
      <c r="E410" t="str">
        <f>"GAB2028016"</f>
        <v>GAB2028016</v>
      </c>
      <c r="F410" s="3">
        <v>45891</v>
      </c>
      <c r="G410">
        <v>202605</v>
      </c>
      <c r="H410" t="s">
        <v>75</v>
      </c>
      <c r="I410" t="s">
        <v>76</v>
      </c>
      <c r="J410" t="s">
        <v>77</v>
      </c>
      <c r="K410" t="s">
        <v>78</v>
      </c>
      <c r="L410" t="s">
        <v>518</v>
      </c>
      <c r="M410" t="s">
        <v>519</v>
      </c>
      <c r="N410" t="s">
        <v>1343</v>
      </c>
      <c r="O410" t="s">
        <v>100</v>
      </c>
      <c r="P410" t="str">
        <f>"00038754 035725               "</f>
        <v xml:space="preserve">00038754 035725               </v>
      </c>
      <c r="Q410">
        <v>0</v>
      </c>
      <c r="R410">
        <v>0</v>
      </c>
      <c r="S410">
        <v>0</v>
      </c>
      <c r="T410">
        <v>0</v>
      </c>
      <c r="U410">
        <v>0</v>
      </c>
      <c r="V410">
        <v>0</v>
      </c>
      <c r="W410">
        <v>0</v>
      </c>
      <c r="X410">
        <v>0</v>
      </c>
      <c r="Y410">
        <v>0</v>
      </c>
      <c r="Z410">
        <v>0</v>
      </c>
      <c r="AA410">
        <v>0</v>
      </c>
      <c r="AB410">
        <v>0</v>
      </c>
      <c r="AC410">
        <v>0</v>
      </c>
      <c r="AD410">
        <v>0</v>
      </c>
      <c r="AE410">
        <v>0</v>
      </c>
      <c r="AF410">
        <v>0</v>
      </c>
      <c r="AG410">
        <v>0</v>
      </c>
      <c r="AH410">
        <v>0</v>
      </c>
      <c r="AI410">
        <v>0</v>
      </c>
      <c r="AJ410">
        <v>0</v>
      </c>
      <c r="AK410">
        <v>0</v>
      </c>
      <c r="AL410">
        <v>0</v>
      </c>
      <c r="AM410">
        <v>0</v>
      </c>
      <c r="AN410">
        <v>0</v>
      </c>
      <c r="AO410">
        <v>0</v>
      </c>
      <c r="AP410">
        <v>0</v>
      </c>
      <c r="AQ410">
        <v>28.85</v>
      </c>
      <c r="AR410">
        <v>0</v>
      </c>
      <c r="AS410">
        <v>0</v>
      </c>
      <c r="AT410">
        <v>0</v>
      </c>
      <c r="AU410">
        <v>0</v>
      </c>
      <c r="AV410">
        <v>0</v>
      </c>
      <c r="AW410">
        <v>0</v>
      </c>
      <c r="AX410">
        <v>0</v>
      </c>
      <c r="AY410">
        <v>0</v>
      </c>
      <c r="AZ410">
        <v>0</v>
      </c>
      <c r="BA410">
        <v>0</v>
      </c>
      <c r="BB410">
        <v>0</v>
      </c>
      <c r="BC410">
        <v>0</v>
      </c>
      <c r="BD410">
        <v>0</v>
      </c>
      <c r="BE410">
        <v>0</v>
      </c>
      <c r="BF410">
        <v>0</v>
      </c>
      <c r="BG410">
        <v>0</v>
      </c>
      <c r="BH410">
        <v>1</v>
      </c>
      <c r="BI410">
        <v>0.4</v>
      </c>
      <c r="BJ410">
        <v>2.5</v>
      </c>
      <c r="BK410">
        <v>2.5</v>
      </c>
      <c r="BL410">
        <v>89.59</v>
      </c>
      <c r="BM410">
        <v>13.44</v>
      </c>
      <c r="BN410">
        <v>103.03</v>
      </c>
      <c r="BO410">
        <v>103.03</v>
      </c>
      <c r="BQ410" t="s">
        <v>1344</v>
      </c>
      <c r="BR410" t="s">
        <v>84</v>
      </c>
      <c r="BS410" s="3">
        <v>45893</v>
      </c>
      <c r="BT410" s="4">
        <v>0.5</v>
      </c>
      <c r="BU410" t="s">
        <v>1345</v>
      </c>
      <c r="BV410" t="s">
        <v>86</v>
      </c>
      <c r="BY410">
        <v>12401.55</v>
      </c>
      <c r="BZ410" t="s">
        <v>102</v>
      </c>
      <c r="CA410" t="s">
        <v>559</v>
      </c>
      <c r="CC410" t="s">
        <v>519</v>
      </c>
      <c r="CD410">
        <v>5201</v>
      </c>
      <c r="CE410" t="s">
        <v>414</v>
      </c>
      <c r="CF410" s="3">
        <v>45894</v>
      </c>
      <c r="CI410">
        <v>1</v>
      </c>
      <c r="CJ410">
        <v>0</v>
      </c>
      <c r="CK410">
        <v>21</v>
      </c>
      <c r="CL410" t="s">
        <v>90</v>
      </c>
    </row>
    <row r="411" spans="1:90" x14ac:dyDescent="0.3">
      <c r="A411" t="s">
        <v>72</v>
      </c>
      <c r="B411" t="s">
        <v>73</v>
      </c>
      <c r="C411" t="s">
        <v>74</v>
      </c>
      <c r="E411" t="str">
        <f>"GAB2028017"</f>
        <v>GAB2028017</v>
      </c>
      <c r="F411" s="3">
        <v>45891</v>
      </c>
      <c r="G411">
        <v>202605</v>
      </c>
      <c r="H411" t="s">
        <v>75</v>
      </c>
      <c r="I411" t="s">
        <v>76</v>
      </c>
      <c r="J411" t="s">
        <v>77</v>
      </c>
      <c r="K411" t="s">
        <v>78</v>
      </c>
      <c r="L411" t="s">
        <v>79</v>
      </c>
      <c r="M411" t="s">
        <v>80</v>
      </c>
      <c r="N411" t="s">
        <v>1346</v>
      </c>
      <c r="O411" t="s">
        <v>100</v>
      </c>
      <c r="P411" t="str">
        <f>"00038758 035054               "</f>
        <v xml:space="preserve">00038758 035054               </v>
      </c>
      <c r="Q411">
        <v>0</v>
      </c>
      <c r="R411">
        <v>0</v>
      </c>
      <c r="S411">
        <v>0</v>
      </c>
      <c r="T411">
        <v>0</v>
      </c>
      <c r="U411">
        <v>0</v>
      </c>
      <c r="V411">
        <v>0</v>
      </c>
      <c r="W411">
        <v>0</v>
      </c>
      <c r="X411">
        <v>0</v>
      </c>
      <c r="Y411">
        <v>0</v>
      </c>
      <c r="Z411">
        <v>0</v>
      </c>
      <c r="AA411">
        <v>0</v>
      </c>
      <c r="AB411">
        <v>0</v>
      </c>
      <c r="AC411">
        <v>0</v>
      </c>
      <c r="AD411">
        <v>0</v>
      </c>
      <c r="AE411">
        <v>0</v>
      </c>
      <c r="AF411">
        <v>0</v>
      </c>
      <c r="AG411">
        <v>0</v>
      </c>
      <c r="AH411">
        <v>0</v>
      </c>
      <c r="AI411">
        <v>0</v>
      </c>
      <c r="AJ411">
        <v>0</v>
      </c>
      <c r="AK411">
        <v>0</v>
      </c>
      <c r="AL411">
        <v>0</v>
      </c>
      <c r="AM411">
        <v>0</v>
      </c>
      <c r="AN411">
        <v>0</v>
      </c>
      <c r="AO411">
        <v>0</v>
      </c>
      <c r="AP411">
        <v>0</v>
      </c>
      <c r="AQ411">
        <v>23.09</v>
      </c>
      <c r="AR411">
        <v>0</v>
      </c>
      <c r="AS411">
        <v>0</v>
      </c>
      <c r="AT411">
        <v>0</v>
      </c>
      <c r="AU411">
        <v>0</v>
      </c>
      <c r="AV411">
        <v>0</v>
      </c>
      <c r="AW411">
        <v>0</v>
      </c>
      <c r="AX411">
        <v>0</v>
      </c>
      <c r="AY411">
        <v>0</v>
      </c>
      <c r="AZ411">
        <v>0</v>
      </c>
      <c r="BA411">
        <v>0</v>
      </c>
      <c r="BB411">
        <v>0</v>
      </c>
      <c r="BC411">
        <v>0</v>
      </c>
      <c r="BD411">
        <v>0</v>
      </c>
      <c r="BE411">
        <v>0</v>
      </c>
      <c r="BF411">
        <v>0</v>
      </c>
      <c r="BG411">
        <v>0</v>
      </c>
      <c r="BH411">
        <v>1</v>
      </c>
      <c r="BI411">
        <v>0.3</v>
      </c>
      <c r="BJ411">
        <v>1.3</v>
      </c>
      <c r="BK411">
        <v>1.5</v>
      </c>
      <c r="BL411">
        <v>71.69</v>
      </c>
      <c r="BM411">
        <v>10.75</v>
      </c>
      <c r="BN411">
        <v>82.44</v>
      </c>
      <c r="BO411">
        <v>82.44</v>
      </c>
      <c r="BQ411" t="s">
        <v>1347</v>
      </c>
      <c r="BR411" t="s">
        <v>84</v>
      </c>
      <c r="BS411" s="3">
        <v>45894</v>
      </c>
      <c r="BT411" s="4">
        <v>0.3659722222222222</v>
      </c>
      <c r="BU411" t="s">
        <v>155</v>
      </c>
      <c r="BV411" t="s">
        <v>86</v>
      </c>
      <c r="BY411">
        <v>6464.61</v>
      </c>
      <c r="BZ411" t="s">
        <v>102</v>
      </c>
      <c r="CA411" t="s">
        <v>1348</v>
      </c>
      <c r="CC411" t="s">
        <v>80</v>
      </c>
      <c r="CD411" s="5" t="s">
        <v>237</v>
      </c>
      <c r="CE411" t="s">
        <v>403</v>
      </c>
      <c r="CF411" s="3">
        <v>45894</v>
      </c>
      <c r="CI411">
        <v>1</v>
      </c>
      <c r="CJ411">
        <v>1</v>
      </c>
      <c r="CK411">
        <v>21</v>
      </c>
      <c r="CL411" t="s">
        <v>90</v>
      </c>
    </row>
    <row r="412" spans="1:90" x14ac:dyDescent="0.3">
      <c r="A412" t="s">
        <v>72</v>
      </c>
      <c r="B412" t="s">
        <v>73</v>
      </c>
      <c r="C412" t="s">
        <v>74</v>
      </c>
      <c r="E412" t="str">
        <f>"GAB2028018"</f>
        <v>GAB2028018</v>
      </c>
      <c r="F412" s="3">
        <v>45891</v>
      </c>
      <c r="G412">
        <v>202605</v>
      </c>
      <c r="H412" t="s">
        <v>75</v>
      </c>
      <c r="I412" t="s">
        <v>76</v>
      </c>
      <c r="J412" t="s">
        <v>77</v>
      </c>
      <c r="K412" t="s">
        <v>78</v>
      </c>
      <c r="L412" t="s">
        <v>75</v>
      </c>
      <c r="M412" t="s">
        <v>76</v>
      </c>
      <c r="N412" t="s">
        <v>1349</v>
      </c>
      <c r="O412" t="s">
        <v>100</v>
      </c>
      <c r="P412" t="str">
        <f>"00120370 096778               "</f>
        <v xml:space="preserve">00120370 096778               </v>
      </c>
      <c r="Q412">
        <v>0</v>
      </c>
      <c r="R412">
        <v>0</v>
      </c>
      <c r="S412">
        <v>0</v>
      </c>
      <c r="T412">
        <v>0</v>
      </c>
      <c r="U412">
        <v>0</v>
      </c>
      <c r="V412">
        <v>0</v>
      </c>
      <c r="W412">
        <v>0</v>
      </c>
      <c r="X412">
        <v>0</v>
      </c>
      <c r="Y412">
        <v>0</v>
      </c>
      <c r="Z412">
        <v>0</v>
      </c>
      <c r="AA412">
        <v>0</v>
      </c>
      <c r="AB412">
        <v>0</v>
      </c>
      <c r="AC412">
        <v>0</v>
      </c>
      <c r="AD412">
        <v>0</v>
      </c>
      <c r="AE412">
        <v>0</v>
      </c>
      <c r="AF412">
        <v>0</v>
      </c>
      <c r="AG412">
        <v>0</v>
      </c>
      <c r="AH412">
        <v>0</v>
      </c>
      <c r="AI412">
        <v>0</v>
      </c>
      <c r="AJ412">
        <v>0</v>
      </c>
      <c r="AK412">
        <v>0</v>
      </c>
      <c r="AL412">
        <v>0</v>
      </c>
      <c r="AM412">
        <v>0</v>
      </c>
      <c r="AN412">
        <v>0</v>
      </c>
      <c r="AO412">
        <v>0</v>
      </c>
      <c r="AP412">
        <v>0</v>
      </c>
      <c r="AQ412">
        <v>18.03</v>
      </c>
      <c r="AR412">
        <v>0</v>
      </c>
      <c r="AS412">
        <v>0</v>
      </c>
      <c r="AT412">
        <v>0</v>
      </c>
      <c r="AU412">
        <v>0</v>
      </c>
      <c r="AV412">
        <v>0</v>
      </c>
      <c r="AW412">
        <v>0</v>
      </c>
      <c r="AX412">
        <v>0</v>
      </c>
      <c r="AY412">
        <v>0</v>
      </c>
      <c r="AZ412">
        <v>0</v>
      </c>
      <c r="BA412">
        <v>0</v>
      </c>
      <c r="BB412">
        <v>0</v>
      </c>
      <c r="BC412">
        <v>0</v>
      </c>
      <c r="BD412">
        <v>0</v>
      </c>
      <c r="BE412">
        <v>0</v>
      </c>
      <c r="BF412">
        <v>0</v>
      </c>
      <c r="BG412">
        <v>0</v>
      </c>
      <c r="BH412">
        <v>1</v>
      </c>
      <c r="BI412">
        <v>0.4</v>
      </c>
      <c r="BJ412">
        <v>2.4</v>
      </c>
      <c r="BK412">
        <v>3</v>
      </c>
      <c r="BL412">
        <v>55.99</v>
      </c>
      <c r="BM412">
        <v>8.4</v>
      </c>
      <c r="BN412">
        <v>64.39</v>
      </c>
      <c r="BO412">
        <v>64.39</v>
      </c>
      <c r="BR412" t="s">
        <v>84</v>
      </c>
      <c r="BS412" s="3">
        <v>45894</v>
      </c>
      <c r="BT412" s="4">
        <v>0.40486111111111112</v>
      </c>
      <c r="BU412" t="s">
        <v>1350</v>
      </c>
      <c r="BV412" t="s">
        <v>86</v>
      </c>
      <c r="BY412">
        <v>11820.6</v>
      </c>
      <c r="BZ412" t="s">
        <v>102</v>
      </c>
      <c r="CA412" t="s">
        <v>1351</v>
      </c>
      <c r="CC412" t="s">
        <v>76</v>
      </c>
      <c r="CD412">
        <v>7708</v>
      </c>
      <c r="CE412" t="s">
        <v>797</v>
      </c>
      <c r="CF412" s="3">
        <v>45895</v>
      </c>
      <c r="CI412">
        <v>1</v>
      </c>
      <c r="CJ412">
        <v>1</v>
      </c>
      <c r="CK412">
        <v>22</v>
      </c>
      <c r="CL412" t="s">
        <v>90</v>
      </c>
    </row>
    <row r="413" spans="1:90" x14ac:dyDescent="0.3">
      <c r="A413" t="s">
        <v>72</v>
      </c>
      <c r="B413" t="s">
        <v>73</v>
      </c>
      <c r="C413" t="s">
        <v>74</v>
      </c>
      <c r="E413" t="str">
        <f>"GAB2028019"</f>
        <v>GAB2028019</v>
      </c>
      <c r="F413" s="3">
        <v>45891</v>
      </c>
      <c r="G413">
        <v>202605</v>
      </c>
      <c r="H413" t="s">
        <v>75</v>
      </c>
      <c r="I413" t="s">
        <v>76</v>
      </c>
      <c r="J413" t="s">
        <v>77</v>
      </c>
      <c r="K413" t="s">
        <v>78</v>
      </c>
      <c r="L413" t="s">
        <v>1352</v>
      </c>
      <c r="M413" t="s">
        <v>1353</v>
      </c>
      <c r="N413" t="s">
        <v>1354</v>
      </c>
      <c r="O413" t="s">
        <v>100</v>
      </c>
      <c r="P413" t="str">
        <f>"00120369 096775               "</f>
        <v xml:space="preserve">00120369 096775               </v>
      </c>
      <c r="Q413">
        <v>0</v>
      </c>
      <c r="R413">
        <v>0</v>
      </c>
      <c r="S413">
        <v>0</v>
      </c>
      <c r="T413">
        <v>0</v>
      </c>
      <c r="U413">
        <v>0</v>
      </c>
      <c r="V413">
        <v>0</v>
      </c>
      <c r="W413">
        <v>0</v>
      </c>
      <c r="X413">
        <v>0</v>
      </c>
      <c r="Y413">
        <v>0</v>
      </c>
      <c r="Z413">
        <v>0</v>
      </c>
      <c r="AA413">
        <v>0</v>
      </c>
      <c r="AB413">
        <v>0</v>
      </c>
      <c r="AC413">
        <v>0</v>
      </c>
      <c r="AD413">
        <v>0</v>
      </c>
      <c r="AE413">
        <v>0</v>
      </c>
      <c r="AF413">
        <v>0</v>
      </c>
      <c r="AG413">
        <v>0</v>
      </c>
      <c r="AH413">
        <v>0</v>
      </c>
      <c r="AI413">
        <v>0</v>
      </c>
      <c r="AJ413">
        <v>0</v>
      </c>
      <c r="AK413">
        <v>0</v>
      </c>
      <c r="AL413">
        <v>0</v>
      </c>
      <c r="AM413">
        <v>0</v>
      </c>
      <c r="AN413">
        <v>0</v>
      </c>
      <c r="AO413">
        <v>0</v>
      </c>
      <c r="AP413">
        <v>0</v>
      </c>
      <c r="AQ413">
        <v>40.369999999999997</v>
      </c>
      <c r="AR413">
        <v>0</v>
      </c>
      <c r="AS413">
        <v>0</v>
      </c>
      <c r="AT413">
        <v>0</v>
      </c>
      <c r="AU413">
        <v>0</v>
      </c>
      <c r="AV413">
        <v>0</v>
      </c>
      <c r="AW413">
        <v>0</v>
      </c>
      <c r="AX413">
        <v>0</v>
      </c>
      <c r="AY413">
        <v>0</v>
      </c>
      <c r="AZ413">
        <v>0</v>
      </c>
      <c r="BA413">
        <v>0</v>
      </c>
      <c r="BB413">
        <v>0</v>
      </c>
      <c r="BC413">
        <v>0</v>
      </c>
      <c r="BD413">
        <v>0</v>
      </c>
      <c r="BE413">
        <v>0</v>
      </c>
      <c r="BF413">
        <v>0</v>
      </c>
      <c r="BG413">
        <v>0</v>
      </c>
      <c r="BH413">
        <v>1</v>
      </c>
      <c r="BI413">
        <v>0.4</v>
      </c>
      <c r="BJ413">
        <v>2.4</v>
      </c>
      <c r="BK413">
        <v>2.5</v>
      </c>
      <c r="BL413">
        <v>125.36</v>
      </c>
      <c r="BM413">
        <v>18.8</v>
      </c>
      <c r="BN413">
        <v>144.16</v>
      </c>
      <c r="BO413">
        <v>144.16</v>
      </c>
      <c r="BR413" t="s">
        <v>84</v>
      </c>
      <c r="BS413" s="3">
        <v>45894</v>
      </c>
      <c r="BT413" s="4">
        <v>0.42777777777777776</v>
      </c>
      <c r="BU413" t="s">
        <v>1355</v>
      </c>
      <c r="BV413" t="s">
        <v>86</v>
      </c>
      <c r="BY413">
        <v>11885.4</v>
      </c>
      <c r="BZ413" t="s">
        <v>102</v>
      </c>
      <c r="CA413" t="s">
        <v>1356</v>
      </c>
      <c r="CC413" t="s">
        <v>1353</v>
      </c>
      <c r="CD413">
        <v>6705</v>
      </c>
      <c r="CE413" t="s">
        <v>797</v>
      </c>
      <c r="CF413" s="3">
        <v>45895</v>
      </c>
      <c r="CI413">
        <v>2</v>
      </c>
      <c r="CJ413">
        <v>1</v>
      </c>
      <c r="CK413">
        <v>24</v>
      </c>
      <c r="CL413" t="s">
        <v>90</v>
      </c>
    </row>
    <row r="414" spans="1:90" x14ac:dyDescent="0.3">
      <c r="A414" t="s">
        <v>72</v>
      </c>
      <c r="B414" t="s">
        <v>73</v>
      </c>
      <c r="C414" t="s">
        <v>74</v>
      </c>
      <c r="E414" t="str">
        <f>"GAB2028022"</f>
        <v>GAB2028022</v>
      </c>
      <c r="F414" s="3">
        <v>45891</v>
      </c>
      <c r="G414">
        <v>202605</v>
      </c>
      <c r="H414" t="s">
        <v>75</v>
      </c>
      <c r="I414" t="s">
        <v>76</v>
      </c>
      <c r="J414" t="s">
        <v>77</v>
      </c>
      <c r="K414" t="s">
        <v>78</v>
      </c>
      <c r="L414" t="s">
        <v>1357</v>
      </c>
      <c r="M414" t="s">
        <v>1357</v>
      </c>
      <c r="N414" t="s">
        <v>1358</v>
      </c>
      <c r="O414" t="s">
        <v>100</v>
      </c>
      <c r="P414" t="str">
        <f>"00120382 096786               "</f>
        <v xml:space="preserve">00120382 096786               </v>
      </c>
      <c r="Q414">
        <v>0</v>
      </c>
      <c r="R414">
        <v>0</v>
      </c>
      <c r="S414">
        <v>0</v>
      </c>
      <c r="T414">
        <v>0</v>
      </c>
      <c r="U414">
        <v>0</v>
      </c>
      <c r="V414">
        <v>0</v>
      </c>
      <c r="W414">
        <v>0</v>
      </c>
      <c r="X414">
        <v>0</v>
      </c>
      <c r="Y414">
        <v>0</v>
      </c>
      <c r="Z414">
        <v>0</v>
      </c>
      <c r="AA414">
        <v>0</v>
      </c>
      <c r="AB414">
        <v>0</v>
      </c>
      <c r="AC414">
        <v>0</v>
      </c>
      <c r="AD414">
        <v>0</v>
      </c>
      <c r="AE414">
        <v>0</v>
      </c>
      <c r="AF414">
        <v>0</v>
      </c>
      <c r="AG414">
        <v>0</v>
      </c>
      <c r="AH414">
        <v>0</v>
      </c>
      <c r="AI414">
        <v>0</v>
      </c>
      <c r="AJ414">
        <v>0</v>
      </c>
      <c r="AK414">
        <v>0</v>
      </c>
      <c r="AL414">
        <v>0</v>
      </c>
      <c r="AM414">
        <v>0</v>
      </c>
      <c r="AN414">
        <v>0</v>
      </c>
      <c r="AO414">
        <v>0</v>
      </c>
      <c r="AP414">
        <v>0</v>
      </c>
      <c r="AQ414">
        <v>32.47</v>
      </c>
      <c r="AR414">
        <v>0</v>
      </c>
      <c r="AS414">
        <v>0</v>
      </c>
      <c r="AT414">
        <v>0</v>
      </c>
      <c r="AU414">
        <v>0</v>
      </c>
      <c r="AV414">
        <v>0</v>
      </c>
      <c r="AW414">
        <v>0</v>
      </c>
      <c r="AX414">
        <v>0</v>
      </c>
      <c r="AY414">
        <v>0</v>
      </c>
      <c r="AZ414">
        <v>0</v>
      </c>
      <c r="BA414">
        <v>0</v>
      </c>
      <c r="BB414">
        <v>0</v>
      </c>
      <c r="BC414">
        <v>0</v>
      </c>
      <c r="BD414">
        <v>0</v>
      </c>
      <c r="BE414">
        <v>0</v>
      </c>
      <c r="BF414">
        <v>0</v>
      </c>
      <c r="BG414">
        <v>0</v>
      </c>
      <c r="BH414">
        <v>1</v>
      </c>
      <c r="BI414">
        <v>0.6</v>
      </c>
      <c r="BJ414">
        <v>1.9</v>
      </c>
      <c r="BK414">
        <v>2</v>
      </c>
      <c r="BL414">
        <v>100.82</v>
      </c>
      <c r="BM414">
        <v>15.12</v>
      </c>
      <c r="BN414">
        <v>115.94</v>
      </c>
      <c r="BO414">
        <v>115.94</v>
      </c>
      <c r="BQ414" t="s">
        <v>1359</v>
      </c>
      <c r="BR414" t="s">
        <v>84</v>
      </c>
      <c r="BS414" s="3">
        <v>45894</v>
      </c>
      <c r="BT414" s="4">
        <v>0.41666666666666669</v>
      </c>
      <c r="BU414" t="s">
        <v>1360</v>
      </c>
      <c r="BV414" t="s">
        <v>86</v>
      </c>
      <c r="BY414">
        <v>9302.4</v>
      </c>
      <c r="BZ414" t="s">
        <v>102</v>
      </c>
      <c r="CC414" t="s">
        <v>1357</v>
      </c>
      <c r="CD414">
        <v>6835</v>
      </c>
      <c r="CE414" t="s">
        <v>1227</v>
      </c>
      <c r="CF414" s="3">
        <v>45895</v>
      </c>
      <c r="CI414">
        <v>2</v>
      </c>
      <c r="CJ414">
        <v>1</v>
      </c>
      <c r="CK414">
        <v>24</v>
      </c>
      <c r="CL414" t="s">
        <v>90</v>
      </c>
    </row>
    <row r="415" spans="1:90" x14ac:dyDescent="0.3">
      <c r="A415" t="s">
        <v>72</v>
      </c>
      <c r="B415" t="s">
        <v>73</v>
      </c>
      <c r="C415" t="s">
        <v>74</v>
      </c>
      <c r="E415" t="str">
        <f>"GAB2028024"</f>
        <v>GAB2028024</v>
      </c>
      <c r="F415" s="3">
        <v>45891</v>
      </c>
      <c r="G415">
        <v>202605</v>
      </c>
      <c r="H415" t="s">
        <v>75</v>
      </c>
      <c r="I415" t="s">
        <v>76</v>
      </c>
      <c r="J415" t="s">
        <v>77</v>
      </c>
      <c r="K415" t="s">
        <v>78</v>
      </c>
      <c r="L415" t="s">
        <v>75</v>
      </c>
      <c r="M415" t="s">
        <v>76</v>
      </c>
      <c r="N415" t="s">
        <v>1361</v>
      </c>
      <c r="O415" t="s">
        <v>100</v>
      </c>
      <c r="P415" t="str">
        <f>"00120375 096779               "</f>
        <v xml:space="preserve">00120375 096779               </v>
      </c>
      <c r="Q415">
        <v>0</v>
      </c>
      <c r="R415">
        <v>0</v>
      </c>
      <c r="S415">
        <v>0</v>
      </c>
      <c r="T415">
        <v>0</v>
      </c>
      <c r="U415">
        <v>0</v>
      </c>
      <c r="V415">
        <v>0</v>
      </c>
      <c r="W415">
        <v>0</v>
      </c>
      <c r="X415">
        <v>0</v>
      </c>
      <c r="Y415">
        <v>0</v>
      </c>
      <c r="Z415">
        <v>0</v>
      </c>
      <c r="AA415">
        <v>0</v>
      </c>
      <c r="AB415">
        <v>0</v>
      </c>
      <c r="AC415">
        <v>0</v>
      </c>
      <c r="AD415">
        <v>0</v>
      </c>
      <c r="AE415">
        <v>0</v>
      </c>
      <c r="AF415">
        <v>0</v>
      </c>
      <c r="AG415">
        <v>0</v>
      </c>
      <c r="AH415">
        <v>0</v>
      </c>
      <c r="AI415">
        <v>0</v>
      </c>
      <c r="AJ415">
        <v>0</v>
      </c>
      <c r="AK415">
        <v>0</v>
      </c>
      <c r="AL415">
        <v>0</v>
      </c>
      <c r="AM415">
        <v>0</v>
      </c>
      <c r="AN415">
        <v>0</v>
      </c>
      <c r="AO415">
        <v>0</v>
      </c>
      <c r="AP415">
        <v>0</v>
      </c>
      <c r="AQ415">
        <v>18.03</v>
      </c>
      <c r="AR415">
        <v>0</v>
      </c>
      <c r="AS415">
        <v>0</v>
      </c>
      <c r="AT415">
        <v>0</v>
      </c>
      <c r="AU415">
        <v>0</v>
      </c>
      <c r="AV415">
        <v>0</v>
      </c>
      <c r="AW415">
        <v>0</v>
      </c>
      <c r="AX415">
        <v>0</v>
      </c>
      <c r="AY415">
        <v>0</v>
      </c>
      <c r="AZ415">
        <v>0</v>
      </c>
      <c r="BA415">
        <v>0</v>
      </c>
      <c r="BB415">
        <v>0</v>
      </c>
      <c r="BC415">
        <v>0</v>
      </c>
      <c r="BD415">
        <v>0</v>
      </c>
      <c r="BE415">
        <v>0</v>
      </c>
      <c r="BF415">
        <v>0</v>
      </c>
      <c r="BG415">
        <v>0</v>
      </c>
      <c r="BH415">
        <v>1</v>
      </c>
      <c r="BI415">
        <v>0.5</v>
      </c>
      <c r="BJ415">
        <v>2.1</v>
      </c>
      <c r="BK415">
        <v>3</v>
      </c>
      <c r="BL415">
        <v>55.99</v>
      </c>
      <c r="BM415">
        <v>8.4</v>
      </c>
      <c r="BN415">
        <v>64.39</v>
      </c>
      <c r="BO415">
        <v>64.39</v>
      </c>
      <c r="BQ415" t="s">
        <v>1362</v>
      </c>
      <c r="BR415" t="s">
        <v>84</v>
      </c>
      <c r="BS415" s="3">
        <v>45894</v>
      </c>
      <c r="BT415" s="4">
        <v>0.39791666666666664</v>
      </c>
      <c r="BU415" t="s">
        <v>1363</v>
      </c>
      <c r="BV415" t="s">
        <v>86</v>
      </c>
      <c r="BY415">
        <v>10287.36</v>
      </c>
      <c r="BZ415" t="s">
        <v>102</v>
      </c>
      <c r="CA415" t="s">
        <v>1338</v>
      </c>
      <c r="CC415" t="s">
        <v>76</v>
      </c>
      <c r="CD415">
        <v>7550</v>
      </c>
      <c r="CE415" t="s">
        <v>1234</v>
      </c>
      <c r="CF415" s="3">
        <v>45895</v>
      </c>
      <c r="CI415">
        <v>1</v>
      </c>
      <c r="CJ415">
        <v>1</v>
      </c>
      <c r="CK415">
        <v>22</v>
      </c>
      <c r="CL415" t="s">
        <v>90</v>
      </c>
    </row>
    <row r="416" spans="1:90" x14ac:dyDescent="0.3">
      <c r="A416" t="s">
        <v>72</v>
      </c>
      <c r="B416" t="s">
        <v>73</v>
      </c>
      <c r="C416" t="s">
        <v>74</v>
      </c>
      <c r="E416" t="str">
        <f>"GAB2028025"</f>
        <v>GAB2028025</v>
      </c>
      <c r="F416" s="3">
        <v>45891</v>
      </c>
      <c r="G416">
        <v>202605</v>
      </c>
      <c r="H416" t="s">
        <v>75</v>
      </c>
      <c r="I416" t="s">
        <v>76</v>
      </c>
      <c r="J416" t="s">
        <v>77</v>
      </c>
      <c r="K416" t="s">
        <v>78</v>
      </c>
      <c r="L416" t="s">
        <v>79</v>
      </c>
      <c r="M416" t="s">
        <v>80</v>
      </c>
      <c r="N416" t="s">
        <v>531</v>
      </c>
      <c r="O416" t="s">
        <v>100</v>
      </c>
      <c r="P416" t="str">
        <f>"00120386 096787               "</f>
        <v xml:space="preserve">00120386 096787               </v>
      </c>
      <c r="Q416">
        <v>0</v>
      </c>
      <c r="R416">
        <v>0</v>
      </c>
      <c r="S416">
        <v>0</v>
      </c>
      <c r="T416">
        <v>0</v>
      </c>
      <c r="U416">
        <v>0</v>
      </c>
      <c r="V416">
        <v>0</v>
      </c>
      <c r="W416">
        <v>0</v>
      </c>
      <c r="X416">
        <v>0</v>
      </c>
      <c r="Y416">
        <v>0</v>
      </c>
      <c r="Z416">
        <v>0</v>
      </c>
      <c r="AA416">
        <v>0</v>
      </c>
      <c r="AB416">
        <v>0</v>
      </c>
      <c r="AC416">
        <v>0</v>
      </c>
      <c r="AD416">
        <v>0</v>
      </c>
      <c r="AE416">
        <v>0</v>
      </c>
      <c r="AF416">
        <v>0</v>
      </c>
      <c r="AG416">
        <v>0</v>
      </c>
      <c r="AH416">
        <v>0</v>
      </c>
      <c r="AI416">
        <v>0</v>
      </c>
      <c r="AJ416">
        <v>0</v>
      </c>
      <c r="AK416">
        <v>0</v>
      </c>
      <c r="AL416">
        <v>0</v>
      </c>
      <c r="AM416">
        <v>0</v>
      </c>
      <c r="AN416">
        <v>0</v>
      </c>
      <c r="AO416">
        <v>0</v>
      </c>
      <c r="AP416">
        <v>0</v>
      </c>
      <c r="AQ416">
        <v>28.85</v>
      </c>
      <c r="AR416">
        <v>0</v>
      </c>
      <c r="AS416">
        <v>0</v>
      </c>
      <c r="AT416">
        <v>0</v>
      </c>
      <c r="AU416">
        <v>0</v>
      </c>
      <c r="AV416">
        <v>0</v>
      </c>
      <c r="AW416">
        <v>0</v>
      </c>
      <c r="AX416">
        <v>0</v>
      </c>
      <c r="AY416">
        <v>0</v>
      </c>
      <c r="AZ416">
        <v>0</v>
      </c>
      <c r="BA416">
        <v>0</v>
      </c>
      <c r="BB416">
        <v>0</v>
      </c>
      <c r="BC416">
        <v>0</v>
      </c>
      <c r="BD416">
        <v>0</v>
      </c>
      <c r="BE416">
        <v>0</v>
      </c>
      <c r="BF416">
        <v>0</v>
      </c>
      <c r="BG416">
        <v>0</v>
      </c>
      <c r="BH416">
        <v>1</v>
      </c>
      <c r="BI416">
        <v>1.3</v>
      </c>
      <c r="BJ416">
        <v>2.5</v>
      </c>
      <c r="BK416">
        <v>2.5</v>
      </c>
      <c r="BL416">
        <v>89.59</v>
      </c>
      <c r="BM416">
        <v>13.44</v>
      </c>
      <c r="BN416">
        <v>103.03</v>
      </c>
      <c r="BO416">
        <v>103.03</v>
      </c>
      <c r="BQ416" t="s">
        <v>532</v>
      </c>
      <c r="BR416" t="s">
        <v>84</v>
      </c>
      <c r="BS416" s="3">
        <v>45894</v>
      </c>
      <c r="BT416" s="4">
        <v>0.40277777777777779</v>
      </c>
      <c r="BU416" t="s">
        <v>1364</v>
      </c>
      <c r="BV416" t="s">
        <v>86</v>
      </c>
      <c r="BY416">
        <v>12620.1</v>
      </c>
      <c r="BZ416" t="s">
        <v>102</v>
      </c>
      <c r="CA416" t="s">
        <v>146</v>
      </c>
      <c r="CC416" t="s">
        <v>80</v>
      </c>
      <c r="CD416" s="5" t="s">
        <v>535</v>
      </c>
      <c r="CE416" t="s">
        <v>970</v>
      </c>
      <c r="CF416" s="3">
        <v>45894</v>
      </c>
      <c r="CI416">
        <v>1</v>
      </c>
      <c r="CJ416">
        <v>1</v>
      </c>
      <c r="CK416">
        <v>21</v>
      </c>
      <c r="CL416" t="s">
        <v>90</v>
      </c>
    </row>
    <row r="417" spans="1:90" x14ac:dyDescent="0.3">
      <c r="A417" t="s">
        <v>72</v>
      </c>
      <c r="B417" t="s">
        <v>73</v>
      </c>
      <c r="C417" t="s">
        <v>74</v>
      </c>
      <c r="E417" t="str">
        <f>"GAB2028026"</f>
        <v>GAB2028026</v>
      </c>
      <c r="F417" s="3">
        <v>45891</v>
      </c>
      <c r="G417">
        <v>202605</v>
      </c>
      <c r="H417" t="s">
        <v>75</v>
      </c>
      <c r="I417" t="s">
        <v>76</v>
      </c>
      <c r="J417" t="s">
        <v>77</v>
      </c>
      <c r="K417" t="s">
        <v>78</v>
      </c>
      <c r="L417" t="s">
        <v>79</v>
      </c>
      <c r="M417" t="s">
        <v>80</v>
      </c>
      <c r="N417" t="s">
        <v>1172</v>
      </c>
      <c r="O417" t="s">
        <v>100</v>
      </c>
      <c r="P417" t="str">
        <f>"00038762 035729               "</f>
        <v xml:space="preserve">00038762 035729               </v>
      </c>
      <c r="Q417">
        <v>0</v>
      </c>
      <c r="R417">
        <v>0</v>
      </c>
      <c r="S417">
        <v>0</v>
      </c>
      <c r="T417">
        <v>0</v>
      </c>
      <c r="U417">
        <v>0</v>
      </c>
      <c r="V417">
        <v>0</v>
      </c>
      <c r="W417">
        <v>0</v>
      </c>
      <c r="X417">
        <v>0</v>
      </c>
      <c r="Y417">
        <v>0</v>
      </c>
      <c r="Z417">
        <v>0</v>
      </c>
      <c r="AA417">
        <v>0</v>
      </c>
      <c r="AB417">
        <v>0</v>
      </c>
      <c r="AC417">
        <v>0</v>
      </c>
      <c r="AD417">
        <v>0</v>
      </c>
      <c r="AE417">
        <v>0</v>
      </c>
      <c r="AF417">
        <v>0</v>
      </c>
      <c r="AG417">
        <v>0</v>
      </c>
      <c r="AH417">
        <v>0</v>
      </c>
      <c r="AI417">
        <v>0</v>
      </c>
      <c r="AJ417">
        <v>0</v>
      </c>
      <c r="AK417">
        <v>0</v>
      </c>
      <c r="AL417">
        <v>0</v>
      </c>
      <c r="AM417">
        <v>0</v>
      </c>
      <c r="AN417">
        <v>0</v>
      </c>
      <c r="AO417">
        <v>0</v>
      </c>
      <c r="AP417">
        <v>0</v>
      </c>
      <c r="AQ417">
        <v>28.85</v>
      </c>
      <c r="AR417">
        <v>0</v>
      </c>
      <c r="AS417">
        <v>0</v>
      </c>
      <c r="AT417">
        <v>0</v>
      </c>
      <c r="AU417">
        <v>0</v>
      </c>
      <c r="AV417">
        <v>0</v>
      </c>
      <c r="AW417">
        <v>0</v>
      </c>
      <c r="AX417">
        <v>0</v>
      </c>
      <c r="AY417">
        <v>0</v>
      </c>
      <c r="AZ417">
        <v>0</v>
      </c>
      <c r="BA417">
        <v>0</v>
      </c>
      <c r="BB417">
        <v>0</v>
      </c>
      <c r="BC417">
        <v>0</v>
      </c>
      <c r="BD417">
        <v>0</v>
      </c>
      <c r="BE417">
        <v>0</v>
      </c>
      <c r="BF417">
        <v>0</v>
      </c>
      <c r="BG417">
        <v>0</v>
      </c>
      <c r="BH417">
        <v>1</v>
      </c>
      <c r="BI417">
        <v>0.5</v>
      </c>
      <c r="BJ417">
        <v>2.2000000000000002</v>
      </c>
      <c r="BK417">
        <v>2.5</v>
      </c>
      <c r="BL417">
        <v>89.59</v>
      </c>
      <c r="BM417">
        <v>13.44</v>
      </c>
      <c r="BN417">
        <v>103.03</v>
      </c>
      <c r="BO417">
        <v>103.03</v>
      </c>
      <c r="BQ417" t="s">
        <v>1173</v>
      </c>
      <c r="BR417" t="s">
        <v>84</v>
      </c>
      <c r="BS417" s="3">
        <v>45894</v>
      </c>
      <c r="BT417" s="4">
        <v>0.31944444444444442</v>
      </c>
      <c r="BU417" t="s">
        <v>1174</v>
      </c>
      <c r="BV417" t="s">
        <v>86</v>
      </c>
      <c r="BY417">
        <v>10998</v>
      </c>
      <c r="BZ417" t="s">
        <v>102</v>
      </c>
      <c r="CA417" t="s">
        <v>236</v>
      </c>
      <c r="CC417" t="s">
        <v>80</v>
      </c>
      <c r="CD417" s="5" t="s">
        <v>237</v>
      </c>
      <c r="CE417" t="s">
        <v>544</v>
      </c>
      <c r="CF417" s="3">
        <v>45894</v>
      </c>
      <c r="CI417">
        <v>1</v>
      </c>
      <c r="CJ417">
        <v>1</v>
      </c>
      <c r="CK417">
        <v>21</v>
      </c>
      <c r="CL417" t="s">
        <v>90</v>
      </c>
    </row>
    <row r="418" spans="1:90" x14ac:dyDescent="0.3">
      <c r="A418" t="s">
        <v>72</v>
      </c>
      <c r="B418" t="s">
        <v>73</v>
      </c>
      <c r="C418" t="s">
        <v>74</v>
      </c>
      <c r="E418" t="str">
        <f>"GAB2028027"</f>
        <v>GAB2028027</v>
      </c>
      <c r="F418" s="3">
        <v>45891</v>
      </c>
      <c r="G418">
        <v>202605</v>
      </c>
      <c r="H418" t="s">
        <v>75</v>
      </c>
      <c r="I418" t="s">
        <v>76</v>
      </c>
      <c r="J418" t="s">
        <v>77</v>
      </c>
      <c r="K418" t="s">
        <v>78</v>
      </c>
      <c r="L418" t="s">
        <v>327</v>
      </c>
      <c r="M418" t="s">
        <v>328</v>
      </c>
      <c r="N418" t="s">
        <v>1365</v>
      </c>
      <c r="O418" t="s">
        <v>100</v>
      </c>
      <c r="P418" t="str">
        <f>"00120388 096680               "</f>
        <v xml:space="preserve">00120388 096680               </v>
      </c>
      <c r="Q418">
        <v>0</v>
      </c>
      <c r="R418">
        <v>0</v>
      </c>
      <c r="S418">
        <v>0</v>
      </c>
      <c r="T418">
        <v>0</v>
      </c>
      <c r="U418">
        <v>0</v>
      </c>
      <c r="V418">
        <v>0</v>
      </c>
      <c r="W418">
        <v>0</v>
      </c>
      <c r="X418">
        <v>0</v>
      </c>
      <c r="Y418">
        <v>0</v>
      </c>
      <c r="Z418">
        <v>0</v>
      </c>
      <c r="AA418">
        <v>0</v>
      </c>
      <c r="AB418">
        <v>0</v>
      </c>
      <c r="AC418">
        <v>0</v>
      </c>
      <c r="AD418">
        <v>0</v>
      </c>
      <c r="AE418">
        <v>0</v>
      </c>
      <c r="AF418">
        <v>0</v>
      </c>
      <c r="AG418">
        <v>0</v>
      </c>
      <c r="AH418">
        <v>0</v>
      </c>
      <c r="AI418">
        <v>0</v>
      </c>
      <c r="AJ418">
        <v>0</v>
      </c>
      <c r="AK418">
        <v>0</v>
      </c>
      <c r="AL418">
        <v>0</v>
      </c>
      <c r="AM418">
        <v>0</v>
      </c>
      <c r="AN418">
        <v>0</v>
      </c>
      <c r="AO418">
        <v>0</v>
      </c>
      <c r="AP418">
        <v>0</v>
      </c>
      <c r="AQ418">
        <v>44.73</v>
      </c>
      <c r="AR418">
        <v>0</v>
      </c>
      <c r="AS418">
        <v>0</v>
      </c>
      <c r="AT418">
        <v>0</v>
      </c>
      <c r="AU418">
        <v>0</v>
      </c>
      <c r="AV418">
        <v>0</v>
      </c>
      <c r="AW418">
        <v>0</v>
      </c>
      <c r="AX418">
        <v>0</v>
      </c>
      <c r="AY418">
        <v>0</v>
      </c>
      <c r="AZ418">
        <v>0</v>
      </c>
      <c r="BA418">
        <v>0</v>
      </c>
      <c r="BB418">
        <v>0</v>
      </c>
      <c r="BC418">
        <v>0</v>
      </c>
      <c r="BD418">
        <v>0</v>
      </c>
      <c r="BE418">
        <v>0</v>
      </c>
      <c r="BF418">
        <v>0</v>
      </c>
      <c r="BG418">
        <v>0</v>
      </c>
      <c r="BH418">
        <v>1</v>
      </c>
      <c r="BI418">
        <v>0.3</v>
      </c>
      <c r="BJ418">
        <v>2</v>
      </c>
      <c r="BK418">
        <v>2</v>
      </c>
      <c r="BL418">
        <v>138.88999999999999</v>
      </c>
      <c r="BM418">
        <v>20.83</v>
      </c>
      <c r="BN418">
        <v>159.72</v>
      </c>
      <c r="BO418">
        <v>159.72</v>
      </c>
      <c r="BQ418" t="s">
        <v>330</v>
      </c>
      <c r="BR418" t="s">
        <v>84</v>
      </c>
      <c r="BS418" s="3">
        <v>45895</v>
      </c>
      <c r="BT418" s="4">
        <v>0.41666666666666669</v>
      </c>
      <c r="BU418" t="s">
        <v>1366</v>
      </c>
      <c r="BV418" t="s">
        <v>86</v>
      </c>
      <c r="BY418">
        <v>9758.1200000000008</v>
      </c>
      <c r="BZ418" t="s">
        <v>102</v>
      </c>
      <c r="CA418" t="s">
        <v>1367</v>
      </c>
      <c r="CC418" t="s">
        <v>328</v>
      </c>
      <c r="CD418">
        <v>9700</v>
      </c>
      <c r="CE418" t="s">
        <v>109</v>
      </c>
      <c r="CF418" s="3">
        <v>45895</v>
      </c>
      <c r="CI418">
        <v>2</v>
      </c>
      <c r="CJ418">
        <v>2</v>
      </c>
      <c r="CK418">
        <v>23</v>
      </c>
      <c r="CL418" t="s">
        <v>90</v>
      </c>
    </row>
    <row r="419" spans="1:90" x14ac:dyDescent="0.3">
      <c r="A419" t="s">
        <v>72</v>
      </c>
      <c r="B419" t="s">
        <v>73</v>
      </c>
      <c r="C419" t="s">
        <v>74</v>
      </c>
      <c r="E419" t="str">
        <f>"GAB2028029"</f>
        <v>GAB2028029</v>
      </c>
      <c r="F419" s="3">
        <v>45891</v>
      </c>
      <c r="G419">
        <v>202605</v>
      </c>
      <c r="H419" t="s">
        <v>75</v>
      </c>
      <c r="I419" t="s">
        <v>76</v>
      </c>
      <c r="J419" t="s">
        <v>77</v>
      </c>
      <c r="K419" t="s">
        <v>78</v>
      </c>
      <c r="L419" t="s">
        <v>1368</v>
      </c>
      <c r="M419" t="s">
        <v>1369</v>
      </c>
      <c r="N419" t="s">
        <v>1370</v>
      </c>
      <c r="O419" t="s">
        <v>100</v>
      </c>
      <c r="P419" t="str">
        <f>"00038769 035744               "</f>
        <v xml:space="preserve">00038769 035744               </v>
      </c>
      <c r="Q419">
        <v>0</v>
      </c>
      <c r="R419">
        <v>0</v>
      </c>
      <c r="S419">
        <v>0</v>
      </c>
      <c r="T419">
        <v>0</v>
      </c>
      <c r="U419">
        <v>0</v>
      </c>
      <c r="V419">
        <v>0</v>
      </c>
      <c r="W419">
        <v>0</v>
      </c>
      <c r="X419">
        <v>0</v>
      </c>
      <c r="Y419">
        <v>0</v>
      </c>
      <c r="Z419">
        <v>0</v>
      </c>
      <c r="AA419">
        <v>0</v>
      </c>
      <c r="AB419">
        <v>0</v>
      </c>
      <c r="AC419">
        <v>0</v>
      </c>
      <c r="AD419">
        <v>0</v>
      </c>
      <c r="AE419">
        <v>0</v>
      </c>
      <c r="AF419">
        <v>0</v>
      </c>
      <c r="AG419">
        <v>0</v>
      </c>
      <c r="AH419">
        <v>0</v>
      </c>
      <c r="AI419">
        <v>0</v>
      </c>
      <c r="AJ419">
        <v>0</v>
      </c>
      <c r="AK419">
        <v>0</v>
      </c>
      <c r="AL419">
        <v>0</v>
      </c>
      <c r="AM419">
        <v>0</v>
      </c>
      <c r="AN419">
        <v>0</v>
      </c>
      <c r="AO419">
        <v>0</v>
      </c>
      <c r="AP419">
        <v>0</v>
      </c>
      <c r="AQ419">
        <v>64.92</v>
      </c>
      <c r="AR419">
        <v>0</v>
      </c>
      <c r="AS419">
        <v>0</v>
      </c>
      <c r="AT419">
        <v>0</v>
      </c>
      <c r="AU419">
        <v>0</v>
      </c>
      <c r="AV419">
        <v>0</v>
      </c>
      <c r="AW419">
        <v>0</v>
      </c>
      <c r="AX419">
        <v>0</v>
      </c>
      <c r="AY419">
        <v>0</v>
      </c>
      <c r="AZ419">
        <v>0</v>
      </c>
      <c r="BA419">
        <v>0</v>
      </c>
      <c r="BB419">
        <v>0</v>
      </c>
      <c r="BC419">
        <v>0</v>
      </c>
      <c r="BD419">
        <v>0</v>
      </c>
      <c r="BE419">
        <v>0</v>
      </c>
      <c r="BF419">
        <v>0</v>
      </c>
      <c r="BG419">
        <v>0</v>
      </c>
      <c r="BH419">
        <v>1</v>
      </c>
      <c r="BI419">
        <v>0.4</v>
      </c>
      <c r="BJ419">
        <v>2.7</v>
      </c>
      <c r="BK419">
        <v>3</v>
      </c>
      <c r="BL419">
        <v>201.6</v>
      </c>
      <c r="BM419">
        <v>30.24</v>
      </c>
      <c r="BN419">
        <v>231.84</v>
      </c>
      <c r="BO419">
        <v>231.84</v>
      </c>
      <c r="BQ419" t="s">
        <v>1371</v>
      </c>
      <c r="BR419" t="s">
        <v>84</v>
      </c>
      <c r="BS419" s="3">
        <v>45894</v>
      </c>
      <c r="BT419" s="4">
        <v>0.3347222222222222</v>
      </c>
      <c r="BU419" t="s">
        <v>1372</v>
      </c>
      <c r="BV419" t="s">
        <v>86</v>
      </c>
      <c r="BY419">
        <v>13464.36</v>
      </c>
      <c r="BZ419" t="s">
        <v>102</v>
      </c>
      <c r="CA419" t="s">
        <v>1373</v>
      </c>
      <c r="CC419" t="s">
        <v>1369</v>
      </c>
      <c r="CD419">
        <v>1759</v>
      </c>
      <c r="CE419" t="s">
        <v>414</v>
      </c>
      <c r="CF419" s="3">
        <v>45894</v>
      </c>
      <c r="CI419">
        <v>1</v>
      </c>
      <c r="CJ419">
        <v>1</v>
      </c>
      <c r="CK419">
        <v>23</v>
      </c>
      <c r="CL419" t="s">
        <v>90</v>
      </c>
    </row>
    <row r="420" spans="1:90" x14ac:dyDescent="0.3">
      <c r="A420" t="s">
        <v>72</v>
      </c>
      <c r="B420" t="s">
        <v>73</v>
      </c>
      <c r="C420" t="s">
        <v>74</v>
      </c>
      <c r="E420" t="str">
        <f>"GAB2028039"</f>
        <v>GAB2028039</v>
      </c>
      <c r="F420" s="3">
        <v>45894</v>
      </c>
      <c r="G420">
        <v>202605</v>
      </c>
      <c r="H420" t="s">
        <v>75</v>
      </c>
      <c r="I420" t="s">
        <v>76</v>
      </c>
      <c r="J420" t="s">
        <v>77</v>
      </c>
      <c r="K420" t="s">
        <v>78</v>
      </c>
      <c r="L420" t="s">
        <v>79</v>
      </c>
      <c r="M420" t="s">
        <v>80</v>
      </c>
      <c r="N420" t="s">
        <v>1374</v>
      </c>
      <c r="O420" t="s">
        <v>82</v>
      </c>
      <c r="P420" t="str">
        <f>"INV-00120400 CT096745         "</f>
        <v xml:space="preserve">INV-00120400 CT096745         </v>
      </c>
      <c r="Q420">
        <v>0</v>
      </c>
      <c r="R420">
        <v>0</v>
      </c>
      <c r="S420">
        <v>0</v>
      </c>
      <c r="T420">
        <v>0</v>
      </c>
      <c r="U420">
        <v>0</v>
      </c>
      <c r="V420">
        <v>0</v>
      </c>
      <c r="W420">
        <v>0</v>
      </c>
      <c r="X420">
        <v>0</v>
      </c>
      <c r="Y420">
        <v>0</v>
      </c>
      <c r="Z420">
        <v>0</v>
      </c>
      <c r="AA420">
        <v>0</v>
      </c>
      <c r="AB420">
        <v>0</v>
      </c>
      <c r="AC420">
        <v>0</v>
      </c>
      <c r="AD420">
        <v>0</v>
      </c>
      <c r="AE420">
        <v>0</v>
      </c>
      <c r="AF420">
        <v>0</v>
      </c>
      <c r="AG420">
        <v>5.87</v>
      </c>
      <c r="AH420">
        <v>0</v>
      </c>
      <c r="AI420">
        <v>0</v>
      </c>
      <c r="AJ420">
        <v>0</v>
      </c>
      <c r="AK420">
        <v>0</v>
      </c>
      <c r="AL420">
        <v>0</v>
      </c>
      <c r="AM420">
        <v>0</v>
      </c>
      <c r="AN420">
        <v>0</v>
      </c>
      <c r="AO420">
        <v>0</v>
      </c>
      <c r="AP420">
        <v>0</v>
      </c>
      <c r="AQ420">
        <v>44.64</v>
      </c>
      <c r="AR420">
        <v>0</v>
      </c>
      <c r="AS420">
        <v>0</v>
      </c>
      <c r="AT420">
        <v>0</v>
      </c>
      <c r="AU420">
        <v>0</v>
      </c>
      <c r="AV420">
        <v>0</v>
      </c>
      <c r="AW420">
        <v>0</v>
      </c>
      <c r="AX420">
        <v>0</v>
      </c>
      <c r="AY420">
        <v>0</v>
      </c>
      <c r="AZ420">
        <v>0</v>
      </c>
      <c r="BA420">
        <v>0</v>
      </c>
      <c r="BB420">
        <v>0</v>
      </c>
      <c r="BC420">
        <v>0</v>
      </c>
      <c r="BD420">
        <v>0</v>
      </c>
      <c r="BE420">
        <v>0</v>
      </c>
      <c r="BF420">
        <v>0</v>
      </c>
      <c r="BG420">
        <v>0</v>
      </c>
      <c r="BH420">
        <v>1</v>
      </c>
      <c r="BI420">
        <v>0.4</v>
      </c>
      <c r="BJ420">
        <v>1.8</v>
      </c>
      <c r="BK420">
        <v>2</v>
      </c>
      <c r="BL420">
        <v>144.49</v>
      </c>
      <c r="BM420">
        <v>21.67</v>
      </c>
      <c r="BN420">
        <v>166.16</v>
      </c>
      <c r="BO420">
        <v>166.16</v>
      </c>
      <c r="BQ420" t="s">
        <v>1375</v>
      </c>
      <c r="BR420" t="s">
        <v>84</v>
      </c>
      <c r="BS420" s="3">
        <v>45896</v>
      </c>
      <c r="BT420" s="4">
        <v>0.57291666666666663</v>
      </c>
      <c r="BU420" t="s">
        <v>1376</v>
      </c>
      <c r="BV420" t="s">
        <v>86</v>
      </c>
      <c r="BY420">
        <v>8920.7999999999993</v>
      </c>
      <c r="CA420" t="s">
        <v>1377</v>
      </c>
      <c r="CC420" t="s">
        <v>80</v>
      </c>
      <c r="CD420" s="5" t="s">
        <v>237</v>
      </c>
      <c r="CE420" t="s">
        <v>640</v>
      </c>
      <c r="CF420" s="3">
        <v>45896</v>
      </c>
      <c r="CI420">
        <v>3</v>
      </c>
      <c r="CJ420">
        <v>2</v>
      </c>
      <c r="CK420">
        <v>41</v>
      </c>
      <c r="CL420" t="s">
        <v>90</v>
      </c>
    </row>
    <row r="421" spans="1:90" x14ac:dyDescent="0.3">
      <c r="A421" t="s">
        <v>72</v>
      </c>
      <c r="B421" t="s">
        <v>73</v>
      </c>
      <c r="C421" t="s">
        <v>74</v>
      </c>
      <c r="E421" t="str">
        <f>"GAB2028040"</f>
        <v>GAB2028040</v>
      </c>
      <c r="F421" s="3">
        <v>45894</v>
      </c>
      <c r="G421">
        <v>202605</v>
      </c>
      <c r="H421" t="s">
        <v>75</v>
      </c>
      <c r="I421" t="s">
        <v>76</v>
      </c>
      <c r="J421" t="s">
        <v>77</v>
      </c>
      <c r="K421" t="s">
        <v>78</v>
      </c>
      <c r="L421" t="s">
        <v>190</v>
      </c>
      <c r="M421" t="s">
        <v>191</v>
      </c>
      <c r="N421" t="s">
        <v>398</v>
      </c>
      <c r="O421" t="s">
        <v>82</v>
      </c>
      <c r="P421" t="str">
        <f>"INV-00120396 CT096795         "</f>
        <v xml:space="preserve">INV-00120396 CT096795         </v>
      </c>
      <c r="Q421">
        <v>0</v>
      </c>
      <c r="R421">
        <v>0</v>
      </c>
      <c r="S421">
        <v>0</v>
      </c>
      <c r="T421">
        <v>0</v>
      </c>
      <c r="U421">
        <v>0</v>
      </c>
      <c r="V421">
        <v>0</v>
      </c>
      <c r="W421">
        <v>0</v>
      </c>
      <c r="X421">
        <v>0</v>
      </c>
      <c r="Y421">
        <v>0</v>
      </c>
      <c r="Z421">
        <v>0</v>
      </c>
      <c r="AA421">
        <v>0</v>
      </c>
      <c r="AB421">
        <v>0</v>
      </c>
      <c r="AC421">
        <v>0</v>
      </c>
      <c r="AD421">
        <v>0</v>
      </c>
      <c r="AE421">
        <v>0</v>
      </c>
      <c r="AF421">
        <v>0</v>
      </c>
      <c r="AG421">
        <v>5.87</v>
      </c>
      <c r="AH421">
        <v>0</v>
      </c>
      <c r="AI421">
        <v>0</v>
      </c>
      <c r="AJ421">
        <v>0</v>
      </c>
      <c r="AK421">
        <v>0</v>
      </c>
      <c r="AL421">
        <v>0</v>
      </c>
      <c r="AM421">
        <v>0</v>
      </c>
      <c r="AN421">
        <v>0</v>
      </c>
      <c r="AO421">
        <v>0</v>
      </c>
      <c r="AP421">
        <v>0</v>
      </c>
      <c r="AQ421">
        <v>44.64</v>
      </c>
      <c r="AR421">
        <v>0</v>
      </c>
      <c r="AS421">
        <v>0</v>
      </c>
      <c r="AT421">
        <v>0</v>
      </c>
      <c r="AU421">
        <v>0</v>
      </c>
      <c r="AV421">
        <v>0</v>
      </c>
      <c r="AW421">
        <v>0</v>
      </c>
      <c r="AX421">
        <v>0</v>
      </c>
      <c r="AY421">
        <v>0</v>
      </c>
      <c r="AZ421">
        <v>0</v>
      </c>
      <c r="BA421">
        <v>0</v>
      </c>
      <c r="BB421">
        <v>0</v>
      </c>
      <c r="BC421">
        <v>0</v>
      </c>
      <c r="BD421">
        <v>0</v>
      </c>
      <c r="BE421">
        <v>0</v>
      </c>
      <c r="BF421">
        <v>0</v>
      </c>
      <c r="BG421">
        <v>0</v>
      </c>
      <c r="BH421">
        <v>2</v>
      </c>
      <c r="BI421">
        <v>7.3</v>
      </c>
      <c r="BJ421">
        <v>14.5</v>
      </c>
      <c r="BK421">
        <v>15</v>
      </c>
      <c r="BL421">
        <v>144.49</v>
      </c>
      <c r="BM421">
        <v>21.67</v>
      </c>
      <c r="BN421">
        <v>166.16</v>
      </c>
      <c r="BO421">
        <v>166.16</v>
      </c>
      <c r="BQ421" t="s">
        <v>399</v>
      </c>
      <c r="BR421" t="s">
        <v>84</v>
      </c>
      <c r="BS421" s="3">
        <v>45896</v>
      </c>
      <c r="BT421" s="4">
        <v>0.38680555555555557</v>
      </c>
      <c r="BU421" t="s">
        <v>388</v>
      </c>
      <c r="BV421" t="s">
        <v>86</v>
      </c>
      <c r="BY421">
        <v>72260.100000000006</v>
      </c>
      <c r="CA421" t="s">
        <v>195</v>
      </c>
      <c r="CC421" t="s">
        <v>191</v>
      </c>
      <c r="CD421" s="5" t="s">
        <v>196</v>
      </c>
      <c r="CE421" t="s">
        <v>171</v>
      </c>
      <c r="CF421" s="3">
        <v>45896</v>
      </c>
      <c r="CI421">
        <v>3</v>
      </c>
      <c r="CJ421">
        <v>2</v>
      </c>
      <c r="CK421">
        <v>41</v>
      </c>
      <c r="CL421" t="s">
        <v>90</v>
      </c>
    </row>
    <row r="422" spans="1:90" x14ac:dyDescent="0.3">
      <c r="A422" t="s">
        <v>72</v>
      </c>
      <c r="B422" t="s">
        <v>73</v>
      </c>
      <c r="C422" t="s">
        <v>74</v>
      </c>
      <c r="E422" t="str">
        <f>"GAB2028043"</f>
        <v>GAB2028043</v>
      </c>
      <c r="F422" s="3">
        <v>45894</v>
      </c>
      <c r="G422">
        <v>202605</v>
      </c>
      <c r="H422" t="s">
        <v>75</v>
      </c>
      <c r="I422" t="s">
        <v>76</v>
      </c>
      <c r="J422" t="s">
        <v>77</v>
      </c>
      <c r="K422" t="s">
        <v>78</v>
      </c>
      <c r="L422" t="s">
        <v>838</v>
      </c>
      <c r="M422" t="s">
        <v>839</v>
      </c>
      <c r="N422" t="s">
        <v>840</v>
      </c>
      <c r="O422" t="s">
        <v>82</v>
      </c>
      <c r="P422" t="str">
        <f>"INV-00038811 00038805 035765 0"</f>
        <v>INV-00038811 00038805 035765 0</v>
      </c>
      <c r="Q422">
        <v>0</v>
      </c>
      <c r="R422">
        <v>0</v>
      </c>
      <c r="S422">
        <v>0</v>
      </c>
      <c r="T422">
        <v>0</v>
      </c>
      <c r="U422">
        <v>0</v>
      </c>
      <c r="V422">
        <v>0</v>
      </c>
      <c r="W422">
        <v>0</v>
      </c>
      <c r="X422">
        <v>0</v>
      </c>
      <c r="Y422">
        <v>0</v>
      </c>
      <c r="Z422">
        <v>0</v>
      </c>
      <c r="AA422">
        <v>0</v>
      </c>
      <c r="AB422">
        <v>0</v>
      </c>
      <c r="AC422">
        <v>0</v>
      </c>
      <c r="AD422">
        <v>0</v>
      </c>
      <c r="AE422">
        <v>0</v>
      </c>
      <c r="AF422">
        <v>0</v>
      </c>
      <c r="AG422">
        <v>5.87</v>
      </c>
      <c r="AH422">
        <v>0</v>
      </c>
      <c r="AI422">
        <v>0</v>
      </c>
      <c r="AJ422">
        <v>0</v>
      </c>
      <c r="AK422">
        <v>0</v>
      </c>
      <c r="AL422">
        <v>0</v>
      </c>
      <c r="AM422">
        <v>0</v>
      </c>
      <c r="AN422">
        <v>0</v>
      </c>
      <c r="AO422">
        <v>0</v>
      </c>
      <c r="AP422">
        <v>0</v>
      </c>
      <c r="AQ422">
        <v>62.96</v>
      </c>
      <c r="AR422">
        <v>0</v>
      </c>
      <c r="AS422">
        <v>0</v>
      </c>
      <c r="AT422">
        <v>0</v>
      </c>
      <c r="AU422">
        <v>0</v>
      </c>
      <c r="AV422">
        <v>0</v>
      </c>
      <c r="AW422">
        <v>0</v>
      </c>
      <c r="AX422">
        <v>0</v>
      </c>
      <c r="AY422">
        <v>0</v>
      </c>
      <c r="AZ422">
        <v>0</v>
      </c>
      <c r="BA422">
        <v>0</v>
      </c>
      <c r="BB422">
        <v>0</v>
      </c>
      <c r="BC422">
        <v>0</v>
      </c>
      <c r="BD422">
        <v>0</v>
      </c>
      <c r="BE422">
        <v>0</v>
      </c>
      <c r="BF422">
        <v>0</v>
      </c>
      <c r="BG422">
        <v>0</v>
      </c>
      <c r="BH422">
        <v>1</v>
      </c>
      <c r="BI422">
        <v>6.2</v>
      </c>
      <c r="BJ422">
        <v>12.8</v>
      </c>
      <c r="BK422">
        <v>13</v>
      </c>
      <c r="BL422">
        <v>201.38</v>
      </c>
      <c r="BM422">
        <v>30.21</v>
      </c>
      <c r="BN422">
        <v>231.59</v>
      </c>
      <c r="BO422">
        <v>231.59</v>
      </c>
      <c r="BQ422" t="s">
        <v>168</v>
      </c>
      <c r="BR422" t="s">
        <v>84</v>
      </c>
      <c r="BS422" s="3">
        <v>45897</v>
      </c>
      <c r="BT422" s="4">
        <v>0.7</v>
      </c>
      <c r="BU422" t="s">
        <v>1378</v>
      </c>
      <c r="BV422" t="s">
        <v>86</v>
      </c>
      <c r="BY422">
        <v>64234.879999999997</v>
      </c>
      <c r="CA422" t="s">
        <v>843</v>
      </c>
      <c r="CC422" t="s">
        <v>839</v>
      </c>
      <c r="CD422" s="5" t="s">
        <v>844</v>
      </c>
      <c r="CE422" t="s">
        <v>171</v>
      </c>
      <c r="CF422" s="3">
        <v>45897</v>
      </c>
      <c r="CI422">
        <v>2</v>
      </c>
      <c r="CJ422">
        <v>3</v>
      </c>
      <c r="CK422">
        <v>43</v>
      </c>
      <c r="CL422" t="s">
        <v>90</v>
      </c>
    </row>
    <row r="423" spans="1:90" x14ac:dyDescent="0.3">
      <c r="A423" t="s">
        <v>72</v>
      </c>
      <c r="B423" t="s">
        <v>73</v>
      </c>
      <c r="C423" t="s">
        <v>74</v>
      </c>
      <c r="E423" t="str">
        <f>"GAB2028044"</f>
        <v>GAB2028044</v>
      </c>
      <c r="F423" s="3">
        <v>45894</v>
      </c>
      <c r="G423">
        <v>202605</v>
      </c>
      <c r="H423" t="s">
        <v>75</v>
      </c>
      <c r="I423" t="s">
        <v>76</v>
      </c>
      <c r="J423" t="s">
        <v>77</v>
      </c>
      <c r="K423" t="s">
        <v>78</v>
      </c>
      <c r="L423" t="s">
        <v>1379</v>
      </c>
      <c r="M423" t="s">
        <v>1380</v>
      </c>
      <c r="N423" t="s">
        <v>1381</v>
      </c>
      <c r="O423" t="s">
        <v>82</v>
      </c>
      <c r="P423" t="str">
        <f>"INV-00120411 CT096689         "</f>
        <v xml:space="preserve">INV-00120411 CT096689         </v>
      </c>
      <c r="Q423">
        <v>0</v>
      </c>
      <c r="R423">
        <v>0</v>
      </c>
      <c r="S423">
        <v>0</v>
      </c>
      <c r="T423">
        <v>0</v>
      </c>
      <c r="U423">
        <v>0</v>
      </c>
      <c r="V423">
        <v>0</v>
      </c>
      <c r="W423">
        <v>0</v>
      </c>
      <c r="X423">
        <v>0</v>
      </c>
      <c r="Y423">
        <v>0</v>
      </c>
      <c r="Z423">
        <v>0</v>
      </c>
      <c r="AA423">
        <v>0</v>
      </c>
      <c r="AB423">
        <v>0</v>
      </c>
      <c r="AC423">
        <v>0</v>
      </c>
      <c r="AD423">
        <v>0</v>
      </c>
      <c r="AE423">
        <v>0</v>
      </c>
      <c r="AF423">
        <v>0</v>
      </c>
      <c r="AG423">
        <v>5.87</v>
      </c>
      <c r="AH423">
        <v>0</v>
      </c>
      <c r="AI423">
        <v>0</v>
      </c>
      <c r="AJ423">
        <v>0</v>
      </c>
      <c r="AK423">
        <v>0</v>
      </c>
      <c r="AL423">
        <v>0</v>
      </c>
      <c r="AM423">
        <v>0</v>
      </c>
      <c r="AN423">
        <v>0</v>
      </c>
      <c r="AO423">
        <v>0</v>
      </c>
      <c r="AP423">
        <v>0</v>
      </c>
      <c r="AQ423">
        <v>62.96</v>
      </c>
      <c r="AR423">
        <v>0</v>
      </c>
      <c r="AS423">
        <v>0</v>
      </c>
      <c r="AT423">
        <v>0</v>
      </c>
      <c r="AU423">
        <v>0</v>
      </c>
      <c r="AV423">
        <v>0</v>
      </c>
      <c r="AW423">
        <v>0</v>
      </c>
      <c r="AX423">
        <v>0</v>
      </c>
      <c r="AY423">
        <v>0</v>
      </c>
      <c r="AZ423">
        <v>0</v>
      </c>
      <c r="BA423">
        <v>0</v>
      </c>
      <c r="BB423">
        <v>0</v>
      </c>
      <c r="BC423">
        <v>0</v>
      </c>
      <c r="BD423">
        <v>0</v>
      </c>
      <c r="BE423">
        <v>0</v>
      </c>
      <c r="BF423">
        <v>0</v>
      </c>
      <c r="BG423">
        <v>0</v>
      </c>
      <c r="BH423">
        <v>1</v>
      </c>
      <c r="BI423">
        <v>0.5</v>
      </c>
      <c r="BJ423">
        <v>2.7</v>
      </c>
      <c r="BK423">
        <v>3</v>
      </c>
      <c r="BL423">
        <v>201.38</v>
      </c>
      <c r="BM423">
        <v>30.21</v>
      </c>
      <c r="BN423">
        <v>231.59</v>
      </c>
      <c r="BO423">
        <v>231.59</v>
      </c>
      <c r="BQ423" t="s">
        <v>1382</v>
      </c>
      <c r="BR423" t="s">
        <v>84</v>
      </c>
      <c r="BS423" s="3">
        <v>45896</v>
      </c>
      <c r="BT423" s="4">
        <v>0.65069444444444446</v>
      </c>
      <c r="BU423" t="s">
        <v>1156</v>
      </c>
      <c r="BV423" t="s">
        <v>86</v>
      </c>
      <c r="BY423">
        <v>13544.16</v>
      </c>
      <c r="CA423" t="s">
        <v>1383</v>
      </c>
      <c r="CC423" t="s">
        <v>1380</v>
      </c>
      <c r="CD423" s="5" t="s">
        <v>1384</v>
      </c>
      <c r="CE423" t="s">
        <v>640</v>
      </c>
      <c r="CF423" s="3">
        <v>45896</v>
      </c>
      <c r="CI423">
        <v>2</v>
      </c>
      <c r="CJ423">
        <v>2</v>
      </c>
      <c r="CK423">
        <v>43</v>
      </c>
      <c r="CL423" t="s">
        <v>90</v>
      </c>
    </row>
    <row r="424" spans="1:90" x14ac:dyDescent="0.3">
      <c r="A424" t="s">
        <v>72</v>
      </c>
      <c r="B424" t="s">
        <v>73</v>
      </c>
      <c r="C424" t="s">
        <v>74</v>
      </c>
      <c r="E424" t="str">
        <f>"GAB2028045"</f>
        <v>GAB2028045</v>
      </c>
      <c r="F424" s="3">
        <v>45894</v>
      </c>
      <c r="G424">
        <v>202605</v>
      </c>
      <c r="H424" t="s">
        <v>75</v>
      </c>
      <c r="I424" t="s">
        <v>76</v>
      </c>
      <c r="J424" t="s">
        <v>77</v>
      </c>
      <c r="K424" t="s">
        <v>78</v>
      </c>
      <c r="L424" t="s">
        <v>1385</v>
      </c>
      <c r="M424" t="s">
        <v>1386</v>
      </c>
      <c r="N424" t="s">
        <v>1387</v>
      </c>
      <c r="O424" t="s">
        <v>82</v>
      </c>
      <c r="P424" t="str">
        <f>"INV-00038796 00038793 00038825"</f>
        <v>INV-00038796 00038793 00038825</v>
      </c>
      <c r="Q424">
        <v>0</v>
      </c>
      <c r="R424">
        <v>0</v>
      </c>
      <c r="S424">
        <v>0</v>
      </c>
      <c r="T424">
        <v>0</v>
      </c>
      <c r="U424">
        <v>0</v>
      </c>
      <c r="V424">
        <v>0</v>
      </c>
      <c r="W424">
        <v>0</v>
      </c>
      <c r="X424">
        <v>0</v>
      </c>
      <c r="Y424">
        <v>0</v>
      </c>
      <c r="Z424">
        <v>0</v>
      </c>
      <c r="AA424">
        <v>0</v>
      </c>
      <c r="AB424">
        <v>0</v>
      </c>
      <c r="AC424">
        <v>0</v>
      </c>
      <c r="AD424">
        <v>0</v>
      </c>
      <c r="AE424">
        <v>0</v>
      </c>
      <c r="AF424">
        <v>0</v>
      </c>
      <c r="AG424">
        <v>5.87</v>
      </c>
      <c r="AH424">
        <v>0</v>
      </c>
      <c r="AI424">
        <v>0</v>
      </c>
      <c r="AJ424">
        <v>0</v>
      </c>
      <c r="AK424">
        <v>0</v>
      </c>
      <c r="AL424">
        <v>0</v>
      </c>
      <c r="AM424">
        <v>0</v>
      </c>
      <c r="AN424">
        <v>0</v>
      </c>
      <c r="AO424">
        <v>0</v>
      </c>
      <c r="AP424">
        <v>0</v>
      </c>
      <c r="AQ424">
        <v>62.96</v>
      </c>
      <c r="AR424">
        <v>0</v>
      </c>
      <c r="AS424">
        <v>0</v>
      </c>
      <c r="AT424">
        <v>0</v>
      </c>
      <c r="AU424">
        <v>0</v>
      </c>
      <c r="AV424">
        <v>0</v>
      </c>
      <c r="AW424">
        <v>0</v>
      </c>
      <c r="AX424">
        <v>0</v>
      </c>
      <c r="AY424">
        <v>0</v>
      </c>
      <c r="AZ424">
        <v>0</v>
      </c>
      <c r="BA424">
        <v>0</v>
      </c>
      <c r="BB424">
        <v>0</v>
      </c>
      <c r="BC424">
        <v>0</v>
      </c>
      <c r="BD424">
        <v>0</v>
      </c>
      <c r="BE424">
        <v>0</v>
      </c>
      <c r="BF424">
        <v>0</v>
      </c>
      <c r="BG424">
        <v>0</v>
      </c>
      <c r="BH424">
        <v>1</v>
      </c>
      <c r="BI424">
        <v>2.5</v>
      </c>
      <c r="BJ424">
        <v>6.1</v>
      </c>
      <c r="BK424">
        <v>7</v>
      </c>
      <c r="BL424">
        <v>201.38</v>
      </c>
      <c r="BM424">
        <v>30.21</v>
      </c>
      <c r="BN424">
        <v>231.59</v>
      </c>
      <c r="BO424">
        <v>231.59</v>
      </c>
      <c r="BQ424" t="s">
        <v>168</v>
      </c>
      <c r="BR424" t="s">
        <v>84</v>
      </c>
      <c r="BS424" s="3">
        <v>45897</v>
      </c>
      <c r="BT424" s="4">
        <v>0.5708333333333333</v>
      </c>
      <c r="BU424" t="s">
        <v>1388</v>
      </c>
      <c r="BV424" t="s">
        <v>86</v>
      </c>
      <c r="BY424">
        <v>30561.3</v>
      </c>
      <c r="CA424" t="s">
        <v>368</v>
      </c>
      <c r="CC424" t="s">
        <v>1386</v>
      </c>
      <c r="CD424">
        <v>1030</v>
      </c>
      <c r="CE424" t="s">
        <v>171</v>
      </c>
      <c r="CF424" s="3">
        <v>45898</v>
      </c>
      <c r="CI424">
        <v>2</v>
      </c>
      <c r="CJ424">
        <v>3</v>
      </c>
      <c r="CK424">
        <v>43</v>
      </c>
      <c r="CL424" t="s">
        <v>90</v>
      </c>
    </row>
    <row r="425" spans="1:90" x14ac:dyDescent="0.3">
      <c r="A425" t="s">
        <v>72</v>
      </c>
      <c r="B425" t="s">
        <v>73</v>
      </c>
      <c r="C425" t="s">
        <v>74</v>
      </c>
      <c r="E425" t="str">
        <f>"GAB2028048"</f>
        <v>GAB2028048</v>
      </c>
      <c r="F425" s="3">
        <v>45894</v>
      </c>
      <c r="G425">
        <v>202605</v>
      </c>
      <c r="H425" t="s">
        <v>75</v>
      </c>
      <c r="I425" t="s">
        <v>76</v>
      </c>
      <c r="J425" t="s">
        <v>77</v>
      </c>
      <c r="K425" t="s">
        <v>78</v>
      </c>
      <c r="L425" t="s">
        <v>190</v>
      </c>
      <c r="M425" t="s">
        <v>191</v>
      </c>
      <c r="N425" t="s">
        <v>192</v>
      </c>
      <c r="O425" t="s">
        <v>82</v>
      </c>
      <c r="P425" t="str">
        <f>"INV-00120412 CT096791         "</f>
        <v xml:space="preserve">INV-00120412 CT096791         </v>
      </c>
      <c r="Q425">
        <v>0</v>
      </c>
      <c r="R425">
        <v>0</v>
      </c>
      <c r="S425">
        <v>0</v>
      </c>
      <c r="T425">
        <v>0</v>
      </c>
      <c r="U425">
        <v>0</v>
      </c>
      <c r="V425">
        <v>0</v>
      </c>
      <c r="W425">
        <v>0</v>
      </c>
      <c r="X425">
        <v>0</v>
      </c>
      <c r="Y425">
        <v>0</v>
      </c>
      <c r="Z425">
        <v>0</v>
      </c>
      <c r="AA425">
        <v>0</v>
      </c>
      <c r="AB425">
        <v>0</v>
      </c>
      <c r="AC425">
        <v>0</v>
      </c>
      <c r="AD425">
        <v>0</v>
      </c>
      <c r="AE425">
        <v>0</v>
      </c>
      <c r="AF425">
        <v>0</v>
      </c>
      <c r="AG425">
        <v>5.87</v>
      </c>
      <c r="AH425">
        <v>0</v>
      </c>
      <c r="AI425">
        <v>0</v>
      </c>
      <c r="AJ425">
        <v>0</v>
      </c>
      <c r="AK425">
        <v>0</v>
      </c>
      <c r="AL425">
        <v>0</v>
      </c>
      <c r="AM425">
        <v>0</v>
      </c>
      <c r="AN425">
        <v>0</v>
      </c>
      <c r="AO425">
        <v>0</v>
      </c>
      <c r="AP425">
        <v>0</v>
      </c>
      <c r="AQ425">
        <v>157.06</v>
      </c>
      <c r="AR425">
        <v>0</v>
      </c>
      <c r="AS425">
        <v>0</v>
      </c>
      <c r="AT425">
        <v>0</v>
      </c>
      <c r="AU425">
        <v>0</v>
      </c>
      <c r="AV425">
        <v>0</v>
      </c>
      <c r="AW425">
        <v>0</v>
      </c>
      <c r="AX425">
        <v>0</v>
      </c>
      <c r="AY425">
        <v>0</v>
      </c>
      <c r="AZ425">
        <v>0</v>
      </c>
      <c r="BA425">
        <v>0</v>
      </c>
      <c r="BB425">
        <v>0</v>
      </c>
      <c r="BC425">
        <v>0</v>
      </c>
      <c r="BD425">
        <v>0</v>
      </c>
      <c r="BE425">
        <v>0</v>
      </c>
      <c r="BF425">
        <v>0</v>
      </c>
      <c r="BG425">
        <v>0</v>
      </c>
      <c r="BH425">
        <v>3</v>
      </c>
      <c r="BI425">
        <v>33</v>
      </c>
      <c r="BJ425">
        <v>75.5</v>
      </c>
      <c r="BK425">
        <v>76</v>
      </c>
      <c r="BL425">
        <v>493.59</v>
      </c>
      <c r="BM425">
        <v>74.040000000000006</v>
      </c>
      <c r="BN425">
        <v>567.63</v>
      </c>
      <c r="BO425">
        <v>567.63</v>
      </c>
      <c r="BQ425" t="s">
        <v>193</v>
      </c>
      <c r="BR425" t="s">
        <v>84</v>
      </c>
      <c r="BS425" s="3">
        <v>45896</v>
      </c>
      <c r="BT425" s="4">
        <v>0.38680555555555557</v>
      </c>
      <c r="BU425" t="s">
        <v>388</v>
      </c>
      <c r="BV425" t="s">
        <v>86</v>
      </c>
      <c r="BY425">
        <v>377509.41</v>
      </c>
      <c r="CA425" t="s">
        <v>195</v>
      </c>
      <c r="CC425" t="s">
        <v>191</v>
      </c>
      <c r="CD425" s="5" t="s">
        <v>196</v>
      </c>
      <c r="CE425" t="s">
        <v>171</v>
      </c>
      <c r="CF425" s="3">
        <v>45896</v>
      </c>
      <c r="CI425">
        <v>3</v>
      </c>
      <c r="CJ425">
        <v>2</v>
      </c>
      <c r="CK425">
        <v>41</v>
      </c>
      <c r="CL425" t="s">
        <v>90</v>
      </c>
    </row>
    <row r="426" spans="1:90" x14ac:dyDescent="0.3">
      <c r="A426" t="s">
        <v>72</v>
      </c>
      <c r="B426" t="s">
        <v>73</v>
      </c>
      <c r="C426" t="s">
        <v>74</v>
      </c>
      <c r="E426" t="str">
        <f>"GAB2028032"</f>
        <v>GAB2028032</v>
      </c>
      <c r="F426" s="3">
        <v>45894</v>
      </c>
      <c r="G426">
        <v>202605</v>
      </c>
      <c r="H426" t="s">
        <v>75</v>
      </c>
      <c r="I426" t="s">
        <v>76</v>
      </c>
      <c r="J426" t="s">
        <v>77</v>
      </c>
      <c r="K426" t="s">
        <v>78</v>
      </c>
      <c r="L426" t="s">
        <v>177</v>
      </c>
      <c r="M426" t="s">
        <v>178</v>
      </c>
      <c r="N426" t="s">
        <v>1389</v>
      </c>
      <c r="O426" t="s">
        <v>100</v>
      </c>
      <c r="P426" t="str">
        <f>"INV-00038794 035739           "</f>
        <v xml:space="preserve">INV-00038794 035739           </v>
      </c>
      <c r="Q426">
        <v>0</v>
      </c>
      <c r="R426">
        <v>0</v>
      </c>
      <c r="S426">
        <v>0</v>
      </c>
      <c r="T426">
        <v>0</v>
      </c>
      <c r="U426">
        <v>0</v>
      </c>
      <c r="V426">
        <v>0</v>
      </c>
      <c r="W426">
        <v>0</v>
      </c>
      <c r="X426">
        <v>0</v>
      </c>
      <c r="Y426">
        <v>0</v>
      </c>
      <c r="Z426">
        <v>0</v>
      </c>
      <c r="AA426">
        <v>0</v>
      </c>
      <c r="AB426">
        <v>0</v>
      </c>
      <c r="AC426">
        <v>0</v>
      </c>
      <c r="AD426">
        <v>0</v>
      </c>
      <c r="AE426">
        <v>0</v>
      </c>
      <c r="AF426">
        <v>0</v>
      </c>
      <c r="AG426">
        <v>0</v>
      </c>
      <c r="AH426">
        <v>0</v>
      </c>
      <c r="AI426">
        <v>0</v>
      </c>
      <c r="AJ426">
        <v>0</v>
      </c>
      <c r="AK426">
        <v>0</v>
      </c>
      <c r="AL426">
        <v>0</v>
      </c>
      <c r="AM426">
        <v>0</v>
      </c>
      <c r="AN426">
        <v>0</v>
      </c>
      <c r="AO426">
        <v>0</v>
      </c>
      <c r="AP426">
        <v>0</v>
      </c>
      <c r="AQ426">
        <v>44.73</v>
      </c>
      <c r="AR426">
        <v>0</v>
      </c>
      <c r="AS426">
        <v>0</v>
      </c>
      <c r="AT426">
        <v>0</v>
      </c>
      <c r="AU426">
        <v>0</v>
      </c>
      <c r="AV426">
        <v>0</v>
      </c>
      <c r="AW426">
        <v>0</v>
      </c>
      <c r="AX426">
        <v>0</v>
      </c>
      <c r="AY426">
        <v>0</v>
      </c>
      <c r="AZ426">
        <v>0</v>
      </c>
      <c r="BA426">
        <v>0</v>
      </c>
      <c r="BB426">
        <v>0</v>
      </c>
      <c r="BC426">
        <v>0</v>
      </c>
      <c r="BD426">
        <v>0</v>
      </c>
      <c r="BE426">
        <v>0</v>
      </c>
      <c r="BF426">
        <v>0</v>
      </c>
      <c r="BG426">
        <v>0</v>
      </c>
      <c r="BH426">
        <v>1</v>
      </c>
      <c r="BI426">
        <v>0.3</v>
      </c>
      <c r="BJ426">
        <v>2</v>
      </c>
      <c r="BK426">
        <v>2</v>
      </c>
      <c r="BL426">
        <v>138.88999999999999</v>
      </c>
      <c r="BM426">
        <v>20.83</v>
      </c>
      <c r="BN426">
        <v>159.72</v>
      </c>
      <c r="BO426">
        <v>159.72</v>
      </c>
      <c r="BQ426" t="s">
        <v>953</v>
      </c>
      <c r="BR426" t="s">
        <v>84</v>
      </c>
      <c r="BS426" s="3">
        <v>45896</v>
      </c>
      <c r="BT426" s="4">
        <v>0.43958333333333333</v>
      </c>
      <c r="BU426" t="s">
        <v>564</v>
      </c>
      <c r="BV426" t="s">
        <v>90</v>
      </c>
      <c r="BY426">
        <v>10019.790000000001</v>
      </c>
      <c r="BZ426" t="s">
        <v>102</v>
      </c>
      <c r="CA426" t="s">
        <v>565</v>
      </c>
      <c r="CC426" t="s">
        <v>178</v>
      </c>
      <c r="CD426">
        <v>1035</v>
      </c>
      <c r="CE426" t="s">
        <v>1390</v>
      </c>
      <c r="CF426" s="3">
        <v>45897</v>
      </c>
      <c r="CI426">
        <v>1</v>
      </c>
      <c r="CJ426">
        <v>2</v>
      </c>
      <c r="CK426">
        <v>23</v>
      </c>
      <c r="CL426" t="s">
        <v>90</v>
      </c>
    </row>
    <row r="427" spans="1:90" x14ac:dyDescent="0.3">
      <c r="A427" t="s">
        <v>72</v>
      </c>
      <c r="B427" t="s">
        <v>73</v>
      </c>
      <c r="C427" t="s">
        <v>74</v>
      </c>
      <c r="E427" t="str">
        <f>"GAB2028033"</f>
        <v>GAB2028033</v>
      </c>
      <c r="F427" s="3">
        <v>45894</v>
      </c>
      <c r="G427">
        <v>202605</v>
      </c>
      <c r="H427" t="s">
        <v>75</v>
      </c>
      <c r="I427" t="s">
        <v>76</v>
      </c>
      <c r="J427" t="s">
        <v>77</v>
      </c>
      <c r="K427" t="s">
        <v>78</v>
      </c>
      <c r="L427" t="s">
        <v>79</v>
      </c>
      <c r="M427" t="s">
        <v>80</v>
      </c>
      <c r="N427" t="s">
        <v>1391</v>
      </c>
      <c r="O427" t="s">
        <v>100</v>
      </c>
      <c r="P427" t="str">
        <f>"INV-00120394 CT096793         "</f>
        <v xml:space="preserve">INV-00120394 CT096793         </v>
      </c>
      <c r="Q427">
        <v>0</v>
      </c>
      <c r="R427">
        <v>0</v>
      </c>
      <c r="S427">
        <v>0</v>
      </c>
      <c r="T427">
        <v>0</v>
      </c>
      <c r="U427">
        <v>0</v>
      </c>
      <c r="V427">
        <v>0</v>
      </c>
      <c r="W427">
        <v>0</v>
      </c>
      <c r="X427">
        <v>0</v>
      </c>
      <c r="Y427">
        <v>0</v>
      </c>
      <c r="Z427">
        <v>0</v>
      </c>
      <c r="AA427">
        <v>0</v>
      </c>
      <c r="AB427">
        <v>0</v>
      </c>
      <c r="AC427">
        <v>0</v>
      </c>
      <c r="AD427">
        <v>0</v>
      </c>
      <c r="AE427">
        <v>0</v>
      </c>
      <c r="AF427">
        <v>0</v>
      </c>
      <c r="AG427">
        <v>0</v>
      </c>
      <c r="AH427">
        <v>0</v>
      </c>
      <c r="AI427">
        <v>0</v>
      </c>
      <c r="AJ427">
        <v>0</v>
      </c>
      <c r="AK427">
        <v>0</v>
      </c>
      <c r="AL427">
        <v>0</v>
      </c>
      <c r="AM427">
        <v>0</v>
      </c>
      <c r="AN427">
        <v>0</v>
      </c>
      <c r="AO427">
        <v>0</v>
      </c>
      <c r="AP427">
        <v>0</v>
      </c>
      <c r="AQ427">
        <v>23.09</v>
      </c>
      <c r="AR427">
        <v>0</v>
      </c>
      <c r="AS427">
        <v>0</v>
      </c>
      <c r="AT427">
        <v>0</v>
      </c>
      <c r="AU427">
        <v>0</v>
      </c>
      <c r="AV427">
        <v>0</v>
      </c>
      <c r="AW427">
        <v>0</v>
      </c>
      <c r="AX427">
        <v>0</v>
      </c>
      <c r="AY427">
        <v>0</v>
      </c>
      <c r="AZ427">
        <v>0</v>
      </c>
      <c r="BA427">
        <v>0</v>
      </c>
      <c r="BB427">
        <v>0</v>
      </c>
      <c r="BC427">
        <v>0</v>
      </c>
      <c r="BD427">
        <v>0</v>
      </c>
      <c r="BE427">
        <v>0</v>
      </c>
      <c r="BF427">
        <v>0</v>
      </c>
      <c r="BG427">
        <v>0</v>
      </c>
      <c r="BH427">
        <v>1</v>
      </c>
      <c r="BI427">
        <v>0.8</v>
      </c>
      <c r="BJ427">
        <v>1.7</v>
      </c>
      <c r="BK427">
        <v>2</v>
      </c>
      <c r="BL427">
        <v>71.69</v>
      </c>
      <c r="BM427">
        <v>10.75</v>
      </c>
      <c r="BN427">
        <v>82.44</v>
      </c>
      <c r="BO427">
        <v>82.44</v>
      </c>
      <c r="BQ427" t="s">
        <v>1392</v>
      </c>
      <c r="BR427" t="s">
        <v>84</v>
      </c>
      <c r="BS427" s="3">
        <v>45895</v>
      </c>
      <c r="BT427" s="4">
        <v>0.31874999999999998</v>
      </c>
      <c r="BU427" t="s">
        <v>1393</v>
      </c>
      <c r="BV427" t="s">
        <v>86</v>
      </c>
      <c r="BY427">
        <v>8333.82</v>
      </c>
      <c r="BZ427" t="s">
        <v>102</v>
      </c>
      <c r="CA427" t="s">
        <v>1394</v>
      </c>
      <c r="CC427" t="s">
        <v>80</v>
      </c>
      <c r="CD427" s="5" t="s">
        <v>237</v>
      </c>
      <c r="CE427" t="s">
        <v>265</v>
      </c>
      <c r="CF427" s="3">
        <v>45895</v>
      </c>
      <c r="CI427">
        <v>1</v>
      </c>
      <c r="CJ427">
        <v>1</v>
      </c>
      <c r="CK427">
        <v>21</v>
      </c>
      <c r="CL427" t="s">
        <v>90</v>
      </c>
    </row>
    <row r="428" spans="1:90" x14ac:dyDescent="0.3">
      <c r="A428" t="s">
        <v>72</v>
      </c>
      <c r="B428" t="s">
        <v>73</v>
      </c>
      <c r="C428" t="s">
        <v>74</v>
      </c>
      <c r="E428" t="str">
        <f>"GAB2028034"</f>
        <v>GAB2028034</v>
      </c>
      <c r="F428" s="3">
        <v>45894</v>
      </c>
      <c r="G428">
        <v>202605</v>
      </c>
      <c r="H428" t="s">
        <v>75</v>
      </c>
      <c r="I428" t="s">
        <v>76</v>
      </c>
      <c r="J428" t="s">
        <v>77</v>
      </c>
      <c r="K428" t="s">
        <v>78</v>
      </c>
      <c r="L428" t="s">
        <v>390</v>
      </c>
      <c r="M428" t="s">
        <v>391</v>
      </c>
      <c r="N428" t="s">
        <v>1395</v>
      </c>
      <c r="O428" t="s">
        <v>100</v>
      </c>
      <c r="P428" t="str">
        <f>"INV-00120393 CT096796         "</f>
        <v xml:space="preserve">INV-00120393 CT096796         </v>
      </c>
      <c r="Q428">
        <v>0</v>
      </c>
      <c r="R428">
        <v>0</v>
      </c>
      <c r="S428">
        <v>0</v>
      </c>
      <c r="T428">
        <v>0</v>
      </c>
      <c r="U428">
        <v>0</v>
      </c>
      <c r="V428">
        <v>0</v>
      </c>
      <c r="W428">
        <v>0</v>
      </c>
      <c r="X428">
        <v>0</v>
      </c>
      <c r="Y428">
        <v>0</v>
      </c>
      <c r="Z428">
        <v>0</v>
      </c>
      <c r="AA428">
        <v>0</v>
      </c>
      <c r="AB428">
        <v>0</v>
      </c>
      <c r="AC428">
        <v>0</v>
      </c>
      <c r="AD428">
        <v>0</v>
      </c>
      <c r="AE428">
        <v>0</v>
      </c>
      <c r="AF428">
        <v>0</v>
      </c>
      <c r="AG428">
        <v>0</v>
      </c>
      <c r="AH428">
        <v>0</v>
      </c>
      <c r="AI428">
        <v>0</v>
      </c>
      <c r="AJ428">
        <v>0</v>
      </c>
      <c r="AK428">
        <v>0</v>
      </c>
      <c r="AL428">
        <v>0</v>
      </c>
      <c r="AM428">
        <v>0</v>
      </c>
      <c r="AN428">
        <v>0</v>
      </c>
      <c r="AO428">
        <v>0</v>
      </c>
      <c r="AP428">
        <v>0</v>
      </c>
      <c r="AQ428">
        <v>54.82</v>
      </c>
      <c r="AR428">
        <v>0</v>
      </c>
      <c r="AS428">
        <v>0</v>
      </c>
      <c r="AT428">
        <v>0</v>
      </c>
      <c r="AU428">
        <v>0</v>
      </c>
      <c r="AV428">
        <v>0</v>
      </c>
      <c r="AW428">
        <v>0</v>
      </c>
      <c r="AX428">
        <v>0</v>
      </c>
      <c r="AY428">
        <v>0</v>
      </c>
      <c r="AZ428">
        <v>0</v>
      </c>
      <c r="BA428">
        <v>0</v>
      </c>
      <c r="BB428">
        <v>0</v>
      </c>
      <c r="BC428">
        <v>0</v>
      </c>
      <c r="BD428">
        <v>0</v>
      </c>
      <c r="BE428">
        <v>0</v>
      </c>
      <c r="BF428">
        <v>0</v>
      </c>
      <c r="BG428">
        <v>0</v>
      </c>
      <c r="BH428">
        <v>1</v>
      </c>
      <c r="BI428">
        <v>1.1000000000000001</v>
      </c>
      <c r="BJ428">
        <v>2.2999999999999998</v>
      </c>
      <c r="BK428">
        <v>2.5</v>
      </c>
      <c r="BL428">
        <v>170.24</v>
      </c>
      <c r="BM428">
        <v>25.54</v>
      </c>
      <c r="BN428">
        <v>195.78</v>
      </c>
      <c r="BO428">
        <v>195.78</v>
      </c>
      <c r="BQ428" t="s">
        <v>1396</v>
      </c>
      <c r="BR428" t="s">
        <v>84</v>
      </c>
      <c r="BS428" s="3">
        <v>45895</v>
      </c>
      <c r="BT428" s="4">
        <v>0.47499999999999998</v>
      </c>
      <c r="BU428" t="s">
        <v>1397</v>
      </c>
      <c r="BV428" t="s">
        <v>86</v>
      </c>
      <c r="BY428">
        <v>11721.72</v>
      </c>
      <c r="BZ428" t="s">
        <v>102</v>
      </c>
      <c r="CC428" t="s">
        <v>391</v>
      </c>
      <c r="CD428">
        <v>1739</v>
      </c>
      <c r="CE428" t="s">
        <v>476</v>
      </c>
      <c r="CF428" s="3">
        <v>45895</v>
      </c>
      <c r="CI428">
        <v>1</v>
      </c>
      <c r="CJ428">
        <v>1</v>
      </c>
      <c r="CK428">
        <v>23</v>
      </c>
      <c r="CL428" t="s">
        <v>90</v>
      </c>
    </row>
    <row r="429" spans="1:90" x14ac:dyDescent="0.3">
      <c r="A429" t="s">
        <v>72</v>
      </c>
      <c r="B429" t="s">
        <v>73</v>
      </c>
      <c r="C429" t="s">
        <v>74</v>
      </c>
      <c r="E429" t="str">
        <f>"GAB2028035"</f>
        <v>GAB2028035</v>
      </c>
      <c r="F429" s="3">
        <v>45894</v>
      </c>
      <c r="G429">
        <v>202605</v>
      </c>
      <c r="H429" t="s">
        <v>75</v>
      </c>
      <c r="I429" t="s">
        <v>76</v>
      </c>
      <c r="J429" t="s">
        <v>77</v>
      </c>
      <c r="K429" t="s">
        <v>78</v>
      </c>
      <c r="L429" t="s">
        <v>415</v>
      </c>
      <c r="M429" t="s">
        <v>416</v>
      </c>
      <c r="N429" t="s">
        <v>892</v>
      </c>
      <c r="O429" t="s">
        <v>100</v>
      </c>
      <c r="P429" t="str">
        <f>"INV-00120395 CT096798         "</f>
        <v xml:space="preserve">INV-00120395 CT096798         </v>
      </c>
      <c r="Q429">
        <v>0</v>
      </c>
      <c r="R429">
        <v>0</v>
      </c>
      <c r="S429">
        <v>0</v>
      </c>
      <c r="T429">
        <v>0</v>
      </c>
      <c r="U429">
        <v>0</v>
      </c>
      <c r="V429">
        <v>0</v>
      </c>
      <c r="W429">
        <v>0</v>
      </c>
      <c r="X429">
        <v>0</v>
      </c>
      <c r="Y429">
        <v>0</v>
      </c>
      <c r="Z429">
        <v>0</v>
      </c>
      <c r="AA429">
        <v>0</v>
      </c>
      <c r="AB429">
        <v>0</v>
      </c>
      <c r="AC429">
        <v>0</v>
      </c>
      <c r="AD429">
        <v>0</v>
      </c>
      <c r="AE429">
        <v>0</v>
      </c>
      <c r="AF429">
        <v>0</v>
      </c>
      <c r="AG429">
        <v>0</v>
      </c>
      <c r="AH429">
        <v>0</v>
      </c>
      <c r="AI429">
        <v>0</v>
      </c>
      <c r="AJ429">
        <v>0</v>
      </c>
      <c r="AK429">
        <v>0</v>
      </c>
      <c r="AL429">
        <v>0</v>
      </c>
      <c r="AM429">
        <v>0</v>
      </c>
      <c r="AN429">
        <v>0</v>
      </c>
      <c r="AO429">
        <v>0</v>
      </c>
      <c r="AP429">
        <v>0</v>
      </c>
      <c r="AQ429">
        <v>23.09</v>
      </c>
      <c r="AR429">
        <v>0</v>
      </c>
      <c r="AS429">
        <v>0</v>
      </c>
      <c r="AT429">
        <v>0</v>
      </c>
      <c r="AU429">
        <v>0</v>
      </c>
      <c r="AV429">
        <v>0</v>
      </c>
      <c r="AW429">
        <v>16.739999999999998</v>
      </c>
      <c r="AX429">
        <v>0</v>
      </c>
      <c r="AY429">
        <v>0</v>
      </c>
      <c r="AZ429">
        <v>0</v>
      </c>
      <c r="BA429">
        <v>0</v>
      </c>
      <c r="BB429">
        <v>0</v>
      </c>
      <c r="BC429">
        <v>0</v>
      </c>
      <c r="BD429">
        <v>0</v>
      </c>
      <c r="BE429">
        <v>0</v>
      </c>
      <c r="BF429">
        <v>0</v>
      </c>
      <c r="BG429">
        <v>0</v>
      </c>
      <c r="BH429">
        <v>1</v>
      </c>
      <c r="BI429">
        <v>0.4</v>
      </c>
      <c r="BJ429">
        <v>2</v>
      </c>
      <c r="BK429">
        <v>2</v>
      </c>
      <c r="BL429">
        <v>88.43</v>
      </c>
      <c r="BM429">
        <v>13.26</v>
      </c>
      <c r="BN429">
        <v>101.69</v>
      </c>
      <c r="BO429">
        <v>101.69</v>
      </c>
      <c r="BQ429" t="s">
        <v>893</v>
      </c>
      <c r="BR429" t="s">
        <v>84</v>
      </c>
      <c r="BS429" s="3">
        <v>45896</v>
      </c>
      <c r="BT429" s="4">
        <v>0.37152777777777779</v>
      </c>
      <c r="BU429" t="s">
        <v>1398</v>
      </c>
      <c r="BV429" t="s">
        <v>90</v>
      </c>
      <c r="BY429">
        <v>9897.06</v>
      </c>
      <c r="BZ429" t="s">
        <v>320</v>
      </c>
      <c r="CA429" t="s">
        <v>1399</v>
      </c>
      <c r="CC429" t="s">
        <v>416</v>
      </c>
      <c r="CD429">
        <v>1862</v>
      </c>
      <c r="CE429" t="s">
        <v>109</v>
      </c>
      <c r="CF429" s="3">
        <v>45897</v>
      </c>
      <c r="CI429">
        <v>0</v>
      </c>
      <c r="CJ429">
        <v>0</v>
      </c>
      <c r="CK429">
        <v>21</v>
      </c>
      <c r="CL429" t="s">
        <v>90</v>
      </c>
    </row>
    <row r="430" spans="1:90" x14ac:dyDescent="0.3">
      <c r="A430" t="s">
        <v>72</v>
      </c>
      <c r="B430" t="s">
        <v>73</v>
      </c>
      <c r="C430" t="s">
        <v>74</v>
      </c>
      <c r="E430" t="str">
        <f>"GAB2028036"</f>
        <v>GAB2028036</v>
      </c>
      <c r="F430" s="3">
        <v>45894</v>
      </c>
      <c r="G430">
        <v>202605</v>
      </c>
      <c r="H430" t="s">
        <v>75</v>
      </c>
      <c r="I430" t="s">
        <v>76</v>
      </c>
      <c r="J430" t="s">
        <v>77</v>
      </c>
      <c r="K430" t="s">
        <v>78</v>
      </c>
      <c r="L430" t="s">
        <v>126</v>
      </c>
      <c r="M430" t="s">
        <v>127</v>
      </c>
      <c r="N430" t="s">
        <v>814</v>
      </c>
      <c r="O430" t="s">
        <v>100</v>
      </c>
      <c r="P430" t="str">
        <f>"INV-00120397 CT096797         "</f>
        <v xml:space="preserve">INV-00120397 CT096797         </v>
      </c>
      <c r="Q430">
        <v>0</v>
      </c>
      <c r="R430">
        <v>0</v>
      </c>
      <c r="S430">
        <v>0</v>
      </c>
      <c r="T430">
        <v>0</v>
      </c>
      <c r="U430">
        <v>0</v>
      </c>
      <c r="V430">
        <v>0</v>
      </c>
      <c r="W430">
        <v>0</v>
      </c>
      <c r="X430">
        <v>0</v>
      </c>
      <c r="Y430">
        <v>0</v>
      </c>
      <c r="Z430">
        <v>0</v>
      </c>
      <c r="AA430">
        <v>0</v>
      </c>
      <c r="AB430">
        <v>0</v>
      </c>
      <c r="AC430">
        <v>0</v>
      </c>
      <c r="AD430">
        <v>0</v>
      </c>
      <c r="AE430">
        <v>0</v>
      </c>
      <c r="AF430">
        <v>0</v>
      </c>
      <c r="AG430">
        <v>0</v>
      </c>
      <c r="AH430">
        <v>0</v>
      </c>
      <c r="AI430">
        <v>0</v>
      </c>
      <c r="AJ430">
        <v>0</v>
      </c>
      <c r="AK430">
        <v>0</v>
      </c>
      <c r="AL430">
        <v>0</v>
      </c>
      <c r="AM430">
        <v>0</v>
      </c>
      <c r="AN430">
        <v>0</v>
      </c>
      <c r="AO430">
        <v>0</v>
      </c>
      <c r="AP430">
        <v>0</v>
      </c>
      <c r="AQ430">
        <v>18.03</v>
      </c>
      <c r="AR430">
        <v>0</v>
      </c>
      <c r="AS430">
        <v>0</v>
      </c>
      <c r="AT430">
        <v>0</v>
      </c>
      <c r="AU430">
        <v>0</v>
      </c>
      <c r="AV430">
        <v>0</v>
      </c>
      <c r="AW430">
        <v>0</v>
      </c>
      <c r="AX430">
        <v>0</v>
      </c>
      <c r="AY430">
        <v>0</v>
      </c>
      <c r="AZ430">
        <v>0</v>
      </c>
      <c r="BA430">
        <v>0</v>
      </c>
      <c r="BB430">
        <v>0</v>
      </c>
      <c r="BC430">
        <v>0</v>
      </c>
      <c r="BD430">
        <v>0</v>
      </c>
      <c r="BE430">
        <v>0</v>
      </c>
      <c r="BF430">
        <v>0</v>
      </c>
      <c r="BG430">
        <v>0</v>
      </c>
      <c r="BH430">
        <v>1</v>
      </c>
      <c r="BI430">
        <v>0.3</v>
      </c>
      <c r="BJ430">
        <v>2.2000000000000002</v>
      </c>
      <c r="BK430">
        <v>3</v>
      </c>
      <c r="BL430">
        <v>55.99</v>
      </c>
      <c r="BM430">
        <v>8.4</v>
      </c>
      <c r="BN430">
        <v>64.39</v>
      </c>
      <c r="BO430">
        <v>64.39</v>
      </c>
      <c r="BQ430" t="s">
        <v>193</v>
      </c>
      <c r="BR430" t="s">
        <v>84</v>
      </c>
      <c r="BS430" s="3">
        <v>45895</v>
      </c>
      <c r="BT430" s="4">
        <v>0.42499999999999999</v>
      </c>
      <c r="BU430" t="s">
        <v>691</v>
      </c>
      <c r="BV430" t="s">
        <v>86</v>
      </c>
      <c r="BY430">
        <v>10785.39</v>
      </c>
      <c r="BZ430" t="s">
        <v>102</v>
      </c>
      <c r="CA430" t="s">
        <v>692</v>
      </c>
      <c r="CC430" t="s">
        <v>127</v>
      </c>
      <c r="CD430">
        <v>7600</v>
      </c>
      <c r="CE430" t="s">
        <v>116</v>
      </c>
      <c r="CF430" s="3">
        <v>45896</v>
      </c>
      <c r="CI430">
        <v>1</v>
      </c>
      <c r="CJ430">
        <v>1</v>
      </c>
      <c r="CK430">
        <v>22</v>
      </c>
      <c r="CL430" t="s">
        <v>90</v>
      </c>
    </row>
    <row r="431" spans="1:90" x14ac:dyDescent="0.3">
      <c r="A431" t="s">
        <v>72</v>
      </c>
      <c r="B431" t="s">
        <v>73</v>
      </c>
      <c r="C431" t="s">
        <v>74</v>
      </c>
      <c r="E431" t="str">
        <f>"GAB2028037"</f>
        <v>GAB2028037</v>
      </c>
      <c r="F431" s="3">
        <v>45894</v>
      </c>
      <c r="G431">
        <v>202605</v>
      </c>
      <c r="H431" t="s">
        <v>75</v>
      </c>
      <c r="I431" t="s">
        <v>76</v>
      </c>
      <c r="J431" t="s">
        <v>77</v>
      </c>
      <c r="K431" t="s">
        <v>78</v>
      </c>
      <c r="L431" t="s">
        <v>444</v>
      </c>
      <c r="M431" t="s">
        <v>445</v>
      </c>
      <c r="N431" t="s">
        <v>1400</v>
      </c>
      <c r="O431" t="s">
        <v>100</v>
      </c>
      <c r="P431" t="str">
        <f>"INV-00120398 CT096794         "</f>
        <v xml:space="preserve">INV-00120398 CT096794         </v>
      </c>
      <c r="Q431">
        <v>0</v>
      </c>
      <c r="R431">
        <v>0</v>
      </c>
      <c r="S431">
        <v>0</v>
      </c>
      <c r="T431">
        <v>0</v>
      </c>
      <c r="U431">
        <v>0</v>
      </c>
      <c r="V431">
        <v>0</v>
      </c>
      <c r="W431">
        <v>0</v>
      </c>
      <c r="X431">
        <v>0</v>
      </c>
      <c r="Y431">
        <v>0</v>
      </c>
      <c r="Z431">
        <v>0</v>
      </c>
      <c r="AA431">
        <v>0</v>
      </c>
      <c r="AB431">
        <v>0</v>
      </c>
      <c r="AC431">
        <v>0</v>
      </c>
      <c r="AD431">
        <v>0</v>
      </c>
      <c r="AE431">
        <v>0</v>
      </c>
      <c r="AF431">
        <v>0</v>
      </c>
      <c r="AG431">
        <v>0</v>
      </c>
      <c r="AH431">
        <v>0</v>
      </c>
      <c r="AI431">
        <v>0</v>
      </c>
      <c r="AJ431">
        <v>0</v>
      </c>
      <c r="AK431">
        <v>0</v>
      </c>
      <c r="AL431">
        <v>0</v>
      </c>
      <c r="AM431">
        <v>0</v>
      </c>
      <c r="AN431">
        <v>0</v>
      </c>
      <c r="AO431">
        <v>0</v>
      </c>
      <c r="AP431">
        <v>0</v>
      </c>
      <c r="AQ431">
        <v>54.82</v>
      </c>
      <c r="AR431">
        <v>0</v>
      </c>
      <c r="AS431">
        <v>0</v>
      </c>
      <c r="AT431">
        <v>0</v>
      </c>
      <c r="AU431">
        <v>0</v>
      </c>
      <c r="AV431">
        <v>0</v>
      </c>
      <c r="AW431">
        <v>0</v>
      </c>
      <c r="AX431">
        <v>0</v>
      </c>
      <c r="AY431">
        <v>0</v>
      </c>
      <c r="AZ431">
        <v>0</v>
      </c>
      <c r="BA431">
        <v>0</v>
      </c>
      <c r="BB431">
        <v>0</v>
      </c>
      <c r="BC431">
        <v>0</v>
      </c>
      <c r="BD431">
        <v>0</v>
      </c>
      <c r="BE431">
        <v>0</v>
      </c>
      <c r="BF431">
        <v>0</v>
      </c>
      <c r="BG431">
        <v>0</v>
      </c>
      <c r="BH431">
        <v>1</v>
      </c>
      <c r="BI431">
        <v>0.5</v>
      </c>
      <c r="BJ431">
        <v>2.5</v>
      </c>
      <c r="BK431">
        <v>2.5</v>
      </c>
      <c r="BL431">
        <v>170.24</v>
      </c>
      <c r="BM431">
        <v>25.54</v>
      </c>
      <c r="BN431">
        <v>195.78</v>
      </c>
      <c r="BO431">
        <v>195.78</v>
      </c>
      <c r="BR431" t="s">
        <v>84</v>
      </c>
      <c r="BS431" s="3">
        <v>45896</v>
      </c>
      <c r="BT431" s="4">
        <v>0.42638888888888887</v>
      </c>
      <c r="BU431" t="s">
        <v>1401</v>
      </c>
      <c r="BV431" t="s">
        <v>86</v>
      </c>
      <c r="BY431">
        <v>12609.35</v>
      </c>
      <c r="BZ431" t="s">
        <v>102</v>
      </c>
      <c r="CA431" t="s">
        <v>449</v>
      </c>
      <c r="CC431" t="s">
        <v>445</v>
      </c>
      <c r="CD431" s="5" t="s">
        <v>450</v>
      </c>
      <c r="CE431" t="s">
        <v>544</v>
      </c>
      <c r="CF431" s="3">
        <v>45897</v>
      </c>
      <c r="CI431">
        <v>2</v>
      </c>
      <c r="CJ431">
        <v>2</v>
      </c>
      <c r="CK431">
        <v>23</v>
      </c>
      <c r="CL431" t="s">
        <v>90</v>
      </c>
    </row>
    <row r="432" spans="1:90" x14ac:dyDescent="0.3">
      <c r="A432" t="s">
        <v>72</v>
      </c>
      <c r="B432" t="s">
        <v>73</v>
      </c>
      <c r="C432" t="s">
        <v>74</v>
      </c>
      <c r="E432" t="str">
        <f>"GAB2028038"</f>
        <v>GAB2028038</v>
      </c>
      <c r="F432" s="3">
        <v>45894</v>
      </c>
      <c r="G432">
        <v>202605</v>
      </c>
      <c r="H432" t="s">
        <v>75</v>
      </c>
      <c r="I432" t="s">
        <v>76</v>
      </c>
      <c r="J432" t="s">
        <v>77</v>
      </c>
      <c r="K432" t="s">
        <v>78</v>
      </c>
      <c r="L432" t="s">
        <v>832</v>
      </c>
      <c r="M432" t="s">
        <v>833</v>
      </c>
      <c r="N432" t="s">
        <v>834</v>
      </c>
      <c r="O432" t="s">
        <v>100</v>
      </c>
      <c r="P432" t="str">
        <f>"INV-00120399 CT096792         "</f>
        <v xml:space="preserve">INV-00120399 CT096792         </v>
      </c>
      <c r="Q432">
        <v>0</v>
      </c>
      <c r="R432">
        <v>0</v>
      </c>
      <c r="S432">
        <v>0</v>
      </c>
      <c r="T432">
        <v>0</v>
      </c>
      <c r="U432">
        <v>0</v>
      </c>
      <c r="V432">
        <v>0</v>
      </c>
      <c r="W432">
        <v>0</v>
      </c>
      <c r="X432">
        <v>0</v>
      </c>
      <c r="Y432">
        <v>0</v>
      </c>
      <c r="Z432">
        <v>0</v>
      </c>
      <c r="AA432">
        <v>0</v>
      </c>
      <c r="AB432">
        <v>0</v>
      </c>
      <c r="AC432">
        <v>0</v>
      </c>
      <c r="AD432">
        <v>0</v>
      </c>
      <c r="AE432">
        <v>0</v>
      </c>
      <c r="AF432">
        <v>0</v>
      </c>
      <c r="AG432">
        <v>0</v>
      </c>
      <c r="AH432">
        <v>0</v>
      </c>
      <c r="AI432">
        <v>0</v>
      </c>
      <c r="AJ432">
        <v>0</v>
      </c>
      <c r="AK432">
        <v>0</v>
      </c>
      <c r="AL432">
        <v>0</v>
      </c>
      <c r="AM432">
        <v>0</v>
      </c>
      <c r="AN432">
        <v>0</v>
      </c>
      <c r="AO432">
        <v>0</v>
      </c>
      <c r="AP432">
        <v>0</v>
      </c>
      <c r="AQ432">
        <v>54.82</v>
      </c>
      <c r="AR432">
        <v>0</v>
      </c>
      <c r="AS432">
        <v>0</v>
      </c>
      <c r="AT432">
        <v>0</v>
      </c>
      <c r="AU432">
        <v>0</v>
      </c>
      <c r="AV432">
        <v>0</v>
      </c>
      <c r="AW432">
        <v>0</v>
      </c>
      <c r="AX432">
        <v>0</v>
      </c>
      <c r="AY432">
        <v>0</v>
      </c>
      <c r="AZ432">
        <v>0</v>
      </c>
      <c r="BA432">
        <v>0</v>
      </c>
      <c r="BB432">
        <v>0</v>
      </c>
      <c r="BC432">
        <v>0</v>
      </c>
      <c r="BD432">
        <v>0</v>
      </c>
      <c r="BE432">
        <v>0</v>
      </c>
      <c r="BF432">
        <v>0</v>
      </c>
      <c r="BG432">
        <v>0</v>
      </c>
      <c r="BH432">
        <v>1</v>
      </c>
      <c r="BI432">
        <v>0.5</v>
      </c>
      <c r="BJ432">
        <v>2.2000000000000002</v>
      </c>
      <c r="BK432">
        <v>2.5</v>
      </c>
      <c r="BL432">
        <v>170.24</v>
      </c>
      <c r="BM432">
        <v>25.54</v>
      </c>
      <c r="BN432">
        <v>195.78</v>
      </c>
      <c r="BO432">
        <v>195.78</v>
      </c>
      <c r="BQ432" t="s">
        <v>835</v>
      </c>
      <c r="BR432" t="s">
        <v>84</v>
      </c>
      <c r="BS432" s="3">
        <v>45896</v>
      </c>
      <c r="BT432" s="4">
        <v>0.36319444444444443</v>
      </c>
      <c r="BU432" t="s">
        <v>1402</v>
      </c>
      <c r="BV432" t="s">
        <v>90</v>
      </c>
      <c r="BW432" t="s">
        <v>759</v>
      </c>
      <c r="BX432" t="s">
        <v>1403</v>
      </c>
      <c r="BY432">
        <v>11135.4</v>
      </c>
      <c r="BZ432" t="s">
        <v>102</v>
      </c>
      <c r="CA432" t="s">
        <v>1404</v>
      </c>
      <c r="CC432" t="s">
        <v>833</v>
      </c>
      <c r="CD432">
        <v>1900</v>
      </c>
      <c r="CE432" t="s">
        <v>104</v>
      </c>
      <c r="CF432" s="3">
        <v>45896</v>
      </c>
      <c r="CI432">
        <v>1</v>
      </c>
      <c r="CJ432">
        <v>2</v>
      </c>
      <c r="CK432">
        <v>23</v>
      </c>
      <c r="CL432" t="s">
        <v>90</v>
      </c>
    </row>
    <row r="433" spans="1:90" x14ac:dyDescent="0.3">
      <c r="A433" t="s">
        <v>72</v>
      </c>
      <c r="B433" t="s">
        <v>73</v>
      </c>
      <c r="C433" t="s">
        <v>74</v>
      </c>
      <c r="E433" t="str">
        <f>"GAB2028041"</f>
        <v>GAB2028041</v>
      </c>
      <c r="F433" s="3">
        <v>45894</v>
      </c>
      <c r="G433">
        <v>202605</v>
      </c>
      <c r="H433" t="s">
        <v>75</v>
      </c>
      <c r="I433" t="s">
        <v>76</v>
      </c>
      <c r="J433" t="s">
        <v>77</v>
      </c>
      <c r="K433" t="s">
        <v>78</v>
      </c>
      <c r="L433" t="s">
        <v>438</v>
      </c>
      <c r="M433" t="s">
        <v>439</v>
      </c>
      <c r="N433" t="s">
        <v>1405</v>
      </c>
      <c r="O433" t="s">
        <v>100</v>
      </c>
      <c r="P433" t="str">
        <f>"INV- 00120407 CT096799        "</f>
        <v xml:space="preserve">INV- 00120407 CT096799        </v>
      </c>
      <c r="Q433">
        <v>0</v>
      </c>
      <c r="R433">
        <v>0</v>
      </c>
      <c r="S433">
        <v>0</v>
      </c>
      <c r="T433">
        <v>0</v>
      </c>
      <c r="U433">
        <v>0</v>
      </c>
      <c r="V433">
        <v>0</v>
      </c>
      <c r="W433">
        <v>0</v>
      </c>
      <c r="X433">
        <v>0</v>
      </c>
      <c r="Y433">
        <v>0</v>
      </c>
      <c r="Z433">
        <v>0</v>
      </c>
      <c r="AA433">
        <v>0</v>
      </c>
      <c r="AB433">
        <v>0</v>
      </c>
      <c r="AC433">
        <v>0</v>
      </c>
      <c r="AD433">
        <v>0</v>
      </c>
      <c r="AE433">
        <v>0</v>
      </c>
      <c r="AF433">
        <v>0</v>
      </c>
      <c r="AG433">
        <v>0</v>
      </c>
      <c r="AH433">
        <v>0</v>
      </c>
      <c r="AI433">
        <v>0</v>
      </c>
      <c r="AJ433">
        <v>0</v>
      </c>
      <c r="AK433">
        <v>0</v>
      </c>
      <c r="AL433">
        <v>0</v>
      </c>
      <c r="AM433">
        <v>0</v>
      </c>
      <c r="AN433">
        <v>0</v>
      </c>
      <c r="AO433">
        <v>0</v>
      </c>
      <c r="AP433">
        <v>0</v>
      </c>
      <c r="AQ433">
        <v>23.09</v>
      </c>
      <c r="AR433">
        <v>0</v>
      </c>
      <c r="AS433">
        <v>0</v>
      </c>
      <c r="AT433">
        <v>0</v>
      </c>
      <c r="AU433">
        <v>0</v>
      </c>
      <c r="AV433">
        <v>0</v>
      </c>
      <c r="AW433">
        <v>16.739999999999998</v>
      </c>
      <c r="AX433">
        <v>0</v>
      </c>
      <c r="AY433">
        <v>0</v>
      </c>
      <c r="AZ433">
        <v>0</v>
      </c>
      <c r="BA433">
        <v>0</v>
      </c>
      <c r="BB433">
        <v>0</v>
      </c>
      <c r="BC433">
        <v>0</v>
      </c>
      <c r="BD433">
        <v>0</v>
      </c>
      <c r="BE433">
        <v>0</v>
      </c>
      <c r="BF433">
        <v>0</v>
      </c>
      <c r="BG433">
        <v>0</v>
      </c>
      <c r="BH433">
        <v>1</v>
      </c>
      <c r="BI433">
        <v>0.4</v>
      </c>
      <c r="BJ433">
        <v>2</v>
      </c>
      <c r="BK433">
        <v>2</v>
      </c>
      <c r="BL433">
        <v>88.43</v>
      </c>
      <c r="BM433">
        <v>13.26</v>
      </c>
      <c r="BN433">
        <v>101.69</v>
      </c>
      <c r="BO433">
        <v>101.69</v>
      </c>
      <c r="BQ433" t="s">
        <v>441</v>
      </c>
      <c r="BR433" t="s">
        <v>84</v>
      </c>
      <c r="BS433" s="3">
        <v>45895</v>
      </c>
      <c r="BT433" s="4">
        <v>0.40625</v>
      </c>
      <c r="BU433" t="s">
        <v>1406</v>
      </c>
      <c r="BV433" t="s">
        <v>86</v>
      </c>
      <c r="BY433">
        <v>9811.2000000000007</v>
      </c>
      <c r="BZ433" t="s">
        <v>320</v>
      </c>
      <c r="CA433" t="s">
        <v>1407</v>
      </c>
      <c r="CC433" t="s">
        <v>439</v>
      </c>
      <c r="CD433">
        <v>1475</v>
      </c>
      <c r="CE433" t="s">
        <v>109</v>
      </c>
      <c r="CF433" s="3">
        <v>45896</v>
      </c>
      <c r="CI433">
        <v>1</v>
      </c>
      <c r="CJ433">
        <v>1</v>
      </c>
      <c r="CK433">
        <v>21</v>
      </c>
      <c r="CL433" t="s">
        <v>90</v>
      </c>
    </row>
    <row r="434" spans="1:90" x14ac:dyDescent="0.3">
      <c r="A434" t="s">
        <v>72</v>
      </c>
      <c r="B434" t="s">
        <v>73</v>
      </c>
      <c r="C434" t="s">
        <v>74</v>
      </c>
      <c r="E434" t="str">
        <f>"GAB2028042"</f>
        <v>GAB2028042</v>
      </c>
      <c r="F434" s="3">
        <v>45894</v>
      </c>
      <c r="G434">
        <v>202605</v>
      </c>
      <c r="H434" t="s">
        <v>75</v>
      </c>
      <c r="I434" t="s">
        <v>76</v>
      </c>
      <c r="J434" t="s">
        <v>77</v>
      </c>
      <c r="K434" t="s">
        <v>78</v>
      </c>
      <c r="L434" t="s">
        <v>126</v>
      </c>
      <c r="M434" t="s">
        <v>127</v>
      </c>
      <c r="N434" t="s">
        <v>128</v>
      </c>
      <c r="O434" t="s">
        <v>100</v>
      </c>
      <c r="P434" t="str">
        <f>"INV- 00120406 CT096803        "</f>
        <v xml:space="preserve">INV- 00120406 CT096803        </v>
      </c>
      <c r="Q434">
        <v>0</v>
      </c>
      <c r="R434">
        <v>0</v>
      </c>
      <c r="S434">
        <v>0</v>
      </c>
      <c r="T434">
        <v>0</v>
      </c>
      <c r="U434">
        <v>0</v>
      </c>
      <c r="V434">
        <v>0</v>
      </c>
      <c r="W434">
        <v>0</v>
      </c>
      <c r="X434">
        <v>0</v>
      </c>
      <c r="Y434">
        <v>0</v>
      </c>
      <c r="Z434">
        <v>0</v>
      </c>
      <c r="AA434">
        <v>0</v>
      </c>
      <c r="AB434">
        <v>0</v>
      </c>
      <c r="AC434">
        <v>0</v>
      </c>
      <c r="AD434">
        <v>0</v>
      </c>
      <c r="AE434">
        <v>0</v>
      </c>
      <c r="AF434">
        <v>0</v>
      </c>
      <c r="AG434">
        <v>0</v>
      </c>
      <c r="AH434">
        <v>0</v>
      </c>
      <c r="AI434">
        <v>0</v>
      </c>
      <c r="AJ434">
        <v>0</v>
      </c>
      <c r="AK434">
        <v>0</v>
      </c>
      <c r="AL434">
        <v>0</v>
      </c>
      <c r="AM434">
        <v>0</v>
      </c>
      <c r="AN434">
        <v>0</v>
      </c>
      <c r="AO434">
        <v>0</v>
      </c>
      <c r="AP434">
        <v>0</v>
      </c>
      <c r="AQ434">
        <v>18.03</v>
      </c>
      <c r="AR434">
        <v>0</v>
      </c>
      <c r="AS434">
        <v>0</v>
      </c>
      <c r="AT434">
        <v>0</v>
      </c>
      <c r="AU434">
        <v>0</v>
      </c>
      <c r="AV434">
        <v>0</v>
      </c>
      <c r="AW434">
        <v>0</v>
      </c>
      <c r="AX434">
        <v>0</v>
      </c>
      <c r="AY434">
        <v>0</v>
      </c>
      <c r="AZ434">
        <v>0</v>
      </c>
      <c r="BA434">
        <v>0</v>
      </c>
      <c r="BB434">
        <v>0</v>
      </c>
      <c r="BC434">
        <v>0</v>
      </c>
      <c r="BD434">
        <v>0</v>
      </c>
      <c r="BE434">
        <v>0</v>
      </c>
      <c r="BF434">
        <v>0</v>
      </c>
      <c r="BG434">
        <v>0</v>
      </c>
      <c r="BH434">
        <v>1</v>
      </c>
      <c r="BI434">
        <v>0.3</v>
      </c>
      <c r="BJ434">
        <v>2.1</v>
      </c>
      <c r="BK434">
        <v>3</v>
      </c>
      <c r="BL434">
        <v>55.99</v>
      </c>
      <c r="BM434">
        <v>8.4</v>
      </c>
      <c r="BN434">
        <v>64.39</v>
      </c>
      <c r="BO434">
        <v>64.39</v>
      </c>
      <c r="BQ434" t="s">
        <v>129</v>
      </c>
      <c r="BR434" t="s">
        <v>84</v>
      </c>
      <c r="BS434" s="3">
        <v>45895</v>
      </c>
      <c r="BT434" s="4">
        <v>0.55902777777777779</v>
      </c>
      <c r="BU434" t="s">
        <v>1408</v>
      </c>
      <c r="BV434" t="s">
        <v>90</v>
      </c>
      <c r="BW434" t="s">
        <v>156</v>
      </c>
      <c r="BX434" t="s">
        <v>157</v>
      </c>
      <c r="BY434">
        <v>10716</v>
      </c>
      <c r="BZ434" t="s">
        <v>102</v>
      </c>
      <c r="CA434" t="s">
        <v>692</v>
      </c>
      <c r="CC434" t="s">
        <v>127</v>
      </c>
      <c r="CD434">
        <v>7600</v>
      </c>
      <c r="CE434" t="s">
        <v>109</v>
      </c>
      <c r="CF434" s="3">
        <v>45896</v>
      </c>
      <c r="CI434">
        <v>1</v>
      </c>
      <c r="CJ434">
        <v>1</v>
      </c>
      <c r="CK434">
        <v>22</v>
      </c>
      <c r="CL434" t="s">
        <v>90</v>
      </c>
    </row>
    <row r="435" spans="1:90" x14ac:dyDescent="0.3">
      <c r="A435" t="s">
        <v>72</v>
      </c>
      <c r="B435" t="s">
        <v>73</v>
      </c>
      <c r="C435" t="s">
        <v>74</v>
      </c>
      <c r="E435" t="str">
        <f>"GAB2028046"</f>
        <v>GAB2028046</v>
      </c>
      <c r="F435" s="3">
        <v>45894</v>
      </c>
      <c r="G435">
        <v>202605</v>
      </c>
      <c r="H435" t="s">
        <v>75</v>
      </c>
      <c r="I435" t="s">
        <v>76</v>
      </c>
      <c r="J435" t="s">
        <v>77</v>
      </c>
      <c r="K435" t="s">
        <v>78</v>
      </c>
      <c r="L435" t="s">
        <v>955</v>
      </c>
      <c r="M435" t="s">
        <v>956</v>
      </c>
      <c r="N435" t="s">
        <v>957</v>
      </c>
      <c r="O435" t="s">
        <v>100</v>
      </c>
      <c r="P435" t="str">
        <f>"INV-00120414 CT096804         "</f>
        <v xml:space="preserve">INV-00120414 CT096804         </v>
      </c>
      <c r="Q435">
        <v>0</v>
      </c>
      <c r="R435">
        <v>0</v>
      </c>
      <c r="S435">
        <v>0</v>
      </c>
      <c r="T435">
        <v>0</v>
      </c>
      <c r="U435">
        <v>0</v>
      </c>
      <c r="V435">
        <v>0</v>
      </c>
      <c r="W435">
        <v>0</v>
      </c>
      <c r="X435">
        <v>0</v>
      </c>
      <c r="Y435">
        <v>0</v>
      </c>
      <c r="Z435">
        <v>0</v>
      </c>
      <c r="AA435">
        <v>0</v>
      </c>
      <c r="AB435">
        <v>0</v>
      </c>
      <c r="AC435">
        <v>0</v>
      </c>
      <c r="AD435">
        <v>0</v>
      </c>
      <c r="AE435">
        <v>0</v>
      </c>
      <c r="AF435">
        <v>0</v>
      </c>
      <c r="AG435">
        <v>0</v>
      </c>
      <c r="AH435">
        <v>0</v>
      </c>
      <c r="AI435">
        <v>0</v>
      </c>
      <c r="AJ435">
        <v>0</v>
      </c>
      <c r="AK435">
        <v>0</v>
      </c>
      <c r="AL435">
        <v>0</v>
      </c>
      <c r="AM435">
        <v>0</v>
      </c>
      <c r="AN435">
        <v>0</v>
      </c>
      <c r="AO435">
        <v>0</v>
      </c>
      <c r="AP435">
        <v>0</v>
      </c>
      <c r="AQ435">
        <v>28.85</v>
      </c>
      <c r="AR435">
        <v>0</v>
      </c>
      <c r="AS435">
        <v>0</v>
      </c>
      <c r="AT435">
        <v>0</v>
      </c>
      <c r="AU435">
        <v>0</v>
      </c>
      <c r="AV435">
        <v>0</v>
      </c>
      <c r="AW435">
        <v>0</v>
      </c>
      <c r="AX435">
        <v>0</v>
      </c>
      <c r="AY435">
        <v>0</v>
      </c>
      <c r="AZ435">
        <v>0</v>
      </c>
      <c r="BA435">
        <v>0</v>
      </c>
      <c r="BB435">
        <v>0</v>
      </c>
      <c r="BC435">
        <v>0</v>
      </c>
      <c r="BD435">
        <v>0</v>
      </c>
      <c r="BE435">
        <v>0</v>
      </c>
      <c r="BF435">
        <v>0</v>
      </c>
      <c r="BG435">
        <v>0</v>
      </c>
      <c r="BH435">
        <v>1</v>
      </c>
      <c r="BI435">
        <v>0.4</v>
      </c>
      <c r="BJ435">
        <v>2.1</v>
      </c>
      <c r="BK435">
        <v>2.5</v>
      </c>
      <c r="BL435">
        <v>89.59</v>
      </c>
      <c r="BM435">
        <v>13.44</v>
      </c>
      <c r="BN435">
        <v>103.03</v>
      </c>
      <c r="BO435">
        <v>103.03</v>
      </c>
      <c r="BR435" t="s">
        <v>84</v>
      </c>
      <c r="BS435" s="3">
        <v>45895</v>
      </c>
      <c r="BT435" s="4">
        <v>0.36249999999999999</v>
      </c>
      <c r="BU435" t="s">
        <v>1409</v>
      </c>
      <c r="BV435" t="s">
        <v>86</v>
      </c>
      <c r="BY435">
        <v>10266.84</v>
      </c>
      <c r="BZ435" t="s">
        <v>102</v>
      </c>
      <c r="CA435" t="s">
        <v>1410</v>
      </c>
      <c r="CC435" t="s">
        <v>956</v>
      </c>
      <c r="CD435">
        <v>1449</v>
      </c>
      <c r="CE435" t="s">
        <v>109</v>
      </c>
      <c r="CF435" s="3">
        <v>45895</v>
      </c>
      <c r="CI435">
        <v>1</v>
      </c>
      <c r="CJ435">
        <v>1</v>
      </c>
      <c r="CK435">
        <v>21</v>
      </c>
      <c r="CL435" t="s">
        <v>90</v>
      </c>
    </row>
    <row r="436" spans="1:90" x14ac:dyDescent="0.3">
      <c r="A436" t="s">
        <v>72</v>
      </c>
      <c r="B436" t="s">
        <v>73</v>
      </c>
      <c r="C436" t="s">
        <v>74</v>
      </c>
      <c r="E436" t="str">
        <f>"GAB2028047"</f>
        <v>GAB2028047</v>
      </c>
      <c r="F436" s="3">
        <v>45894</v>
      </c>
      <c r="G436">
        <v>202605</v>
      </c>
      <c r="H436" t="s">
        <v>75</v>
      </c>
      <c r="I436" t="s">
        <v>76</v>
      </c>
      <c r="J436" t="s">
        <v>77</v>
      </c>
      <c r="K436" t="s">
        <v>78</v>
      </c>
      <c r="L436" t="s">
        <v>444</v>
      </c>
      <c r="M436" t="s">
        <v>445</v>
      </c>
      <c r="N436" t="s">
        <v>1411</v>
      </c>
      <c r="O436" t="s">
        <v>100</v>
      </c>
      <c r="P436" t="str">
        <f>"INV-00120413 CT096801         "</f>
        <v xml:space="preserve">INV-00120413 CT096801         </v>
      </c>
      <c r="Q436">
        <v>0</v>
      </c>
      <c r="R436">
        <v>0</v>
      </c>
      <c r="S436">
        <v>0</v>
      </c>
      <c r="T436">
        <v>0</v>
      </c>
      <c r="U436">
        <v>0</v>
      </c>
      <c r="V436">
        <v>0</v>
      </c>
      <c r="W436">
        <v>0</v>
      </c>
      <c r="X436">
        <v>0</v>
      </c>
      <c r="Y436">
        <v>0</v>
      </c>
      <c r="Z436">
        <v>0</v>
      </c>
      <c r="AA436">
        <v>0</v>
      </c>
      <c r="AB436">
        <v>0</v>
      </c>
      <c r="AC436">
        <v>0</v>
      </c>
      <c r="AD436">
        <v>0</v>
      </c>
      <c r="AE436">
        <v>0</v>
      </c>
      <c r="AF436">
        <v>0</v>
      </c>
      <c r="AG436">
        <v>0</v>
      </c>
      <c r="AH436">
        <v>0</v>
      </c>
      <c r="AI436">
        <v>0</v>
      </c>
      <c r="AJ436">
        <v>0</v>
      </c>
      <c r="AK436">
        <v>0</v>
      </c>
      <c r="AL436">
        <v>0</v>
      </c>
      <c r="AM436">
        <v>0</v>
      </c>
      <c r="AN436">
        <v>0</v>
      </c>
      <c r="AO436">
        <v>0</v>
      </c>
      <c r="AP436">
        <v>0</v>
      </c>
      <c r="AQ436">
        <v>54.82</v>
      </c>
      <c r="AR436">
        <v>0</v>
      </c>
      <c r="AS436">
        <v>0</v>
      </c>
      <c r="AT436">
        <v>0</v>
      </c>
      <c r="AU436">
        <v>0</v>
      </c>
      <c r="AV436">
        <v>0</v>
      </c>
      <c r="AW436">
        <v>0</v>
      </c>
      <c r="AX436">
        <v>0</v>
      </c>
      <c r="AY436">
        <v>0</v>
      </c>
      <c r="AZ436">
        <v>0</v>
      </c>
      <c r="BA436">
        <v>0</v>
      </c>
      <c r="BB436">
        <v>0</v>
      </c>
      <c r="BC436">
        <v>0</v>
      </c>
      <c r="BD436">
        <v>0</v>
      </c>
      <c r="BE436">
        <v>0</v>
      </c>
      <c r="BF436">
        <v>0</v>
      </c>
      <c r="BG436">
        <v>0</v>
      </c>
      <c r="BH436">
        <v>1</v>
      </c>
      <c r="BI436">
        <v>0.5</v>
      </c>
      <c r="BJ436">
        <v>2.2999999999999998</v>
      </c>
      <c r="BK436">
        <v>2.5</v>
      </c>
      <c r="BL436">
        <v>170.24</v>
      </c>
      <c r="BM436">
        <v>25.54</v>
      </c>
      <c r="BN436">
        <v>195.78</v>
      </c>
      <c r="BO436">
        <v>195.78</v>
      </c>
      <c r="BQ436" t="s">
        <v>1412</v>
      </c>
      <c r="BR436" t="s">
        <v>84</v>
      </c>
      <c r="BS436" s="3">
        <v>45896</v>
      </c>
      <c r="BT436" s="4">
        <v>0.43263888888888891</v>
      </c>
      <c r="BU436" t="s">
        <v>1413</v>
      </c>
      <c r="BV436" t="s">
        <v>86</v>
      </c>
      <c r="BY436">
        <v>11662.2</v>
      </c>
      <c r="BZ436" t="s">
        <v>102</v>
      </c>
      <c r="CA436" t="s">
        <v>449</v>
      </c>
      <c r="CC436" t="s">
        <v>445</v>
      </c>
      <c r="CD436" s="5" t="s">
        <v>450</v>
      </c>
      <c r="CE436" t="s">
        <v>471</v>
      </c>
      <c r="CF436" s="3">
        <v>45897</v>
      </c>
      <c r="CI436">
        <v>2</v>
      </c>
      <c r="CJ436">
        <v>2</v>
      </c>
      <c r="CK436">
        <v>23</v>
      </c>
      <c r="CL436" t="s">
        <v>90</v>
      </c>
    </row>
    <row r="437" spans="1:90" x14ac:dyDescent="0.3">
      <c r="A437" t="s">
        <v>72</v>
      </c>
      <c r="B437" t="s">
        <v>73</v>
      </c>
      <c r="C437" t="s">
        <v>74</v>
      </c>
      <c r="E437" t="str">
        <f>"GAB2028049"</f>
        <v>GAB2028049</v>
      </c>
      <c r="F437" s="3">
        <v>45894</v>
      </c>
      <c r="G437">
        <v>202605</v>
      </c>
      <c r="H437" t="s">
        <v>75</v>
      </c>
      <c r="I437" t="s">
        <v>76</v>
      </c>
      <c r="J437" t="s">
        <v>77</v>
      </c>
      <c r="K437" t="s">
        <v>78</v>
      </c>
      <c r="L437" t="s">
        <v>308</v>
      </c>
      <c r="M437" t="s">
        <v>309</v>
      </c>
      <c r="N437" t="s">
        <v>310</v>
      </c>
      <c r="O437" t="s">
        <v>100</v>
      </c>
      <c r="P437" t="str">
        <f>"INV-00120420 CTG096807        "</f>
        <v xml:space="preserve">INV-00120420 CTG096807        </v>
      </c>
      <c r="Q437">
        <v>0</v>
      </c>
      <c r="R437">
        <v>0</v>
      </c>
      <c r="S437">
        <v>0</v>
      </c>
      <c r="T437">
        <v>0</v>
      </c>
      <c r="U437">
        <v>0</v>
      </c>
      <c r="V437">
        <v>0</v>
      </c>
      <c r="W437">
        <v>0</v>
      </c>
      <c r="X437">
        <v>0</v>
      </c>
      <c r="Y437">
        <v>0</v>
      </c>
      <c r="Z437">
        <v>0</v>
      </c>
      <c r="AA437">
        <v>0</v>
      </c>
      <c r="AB437">
        <v>0</v>
      </c>
      <c r="AC437">
        <v>0</v>
      </c>
      <c r="AD437">
        <v>0</v>
      </c>
      <c r="AE437">
        <v>0</v>
      </c>
      <c r="AF437">
        <v>0</v>
      </c>
      <c r="AG437">
        <v>0</v>
      </c>
      <c r="AH437">
        <v>0</v>
      </c>
      <c r="AI437">
        <v>0</v>
      </c>
      <c r="AJ437">
        <v>0</v>
      </c>
      <c r="AK437">
        <v>0</v>
      </c>
      <c r="AL437">
        <v>0</v>
      </c>
      <c r="AM437">
        <v>0</v>
      </c>
      <c r="AN437">
        <v>0</v>
      </c>
      <c r="AO437">
        <v>0</v>
      </c>
      <c r="AP437">
        <v>0</v>
      </c>
      <c r="AQ437">
        <v>44.73</v>
      </c>
      <c r="AR437">
        <v>0</v>
      </c>
      <c r="AS437">
        <v>0</v>
      </c>
      <c r="AT437">
        <v>0</v>
      </c>
      <c r="AU437">
        <v>0</v>
      </c>
      <c r="AV437">
        <v>0</v>
      </c>
      <c r="AW437">
        <v>0</v>
      </c>
      <c r="AX437">
        <v>0</v>
      </c>
      <c r="AY437">
        <v>0</v>
      </c>
      <c r="AZ437">
        <v>0</v>
      </c>
      <c r="BA437">
        <v>0</v>
      </c>
      <c r="BB437">
        <v>0</v>
      </c>
      <c r="BC437">
        <v>0</v>
      </c>
      <c r="BD437">
        <v>0</v>
      </c>
      <c r="BE437">
        <v>0</v>
      </c>
      <c r="BF437">
        <v>0</v>
      </c>
      <c r="BG437">
        <v>0</v>
      </c>
      <c r="BH437">
        <v>1</v>
      </c>
      <c r="BI437">
        <v>0.3</v>
      </c>
      <c r="BJ437">
        <v>2</v>
      </c>
      <c r="BK437">
        <v>2</v>
      </c>
      <c r="BL437">
        <v>138.88999999999999</v>
      </c>
      <c r="BM437">
        <v>20.83</v>
      </c>
      <c r="BN437">
        <v>159.72</v>
      </c>
      <c r="BO437">
        <v>159.72</v>
      </c>
      <c r="BQ437" t="s">
        <v>311</v>
      </c>
      <c r="BR437" t="s">
        <v>84</v>
      </c>
      <c r="BS437" s="3">
        <v>45896</v>
      </c>
      <c r="BT437" s="4">
        <v>0.4284722222222222</v>
      </c>
      <c r="BU437" t="s">
        <v>1414</v>
      </c>
      <c r="BV437" t="s">
        <v>86</v>
      </c>
      <c r="BY437">
        <v>10117.379999999999</v>
      </c>
      <c r="BZ437" t="s">
        <v>102</v>
      </c>
      <c r="CA437" t="s">
        <v>1415</v>
      </c>
      <c r="CC437" t="s">
        <v>309</v>
      </c>
      <c r="CD437" s="5" t="s">
        <v>314</v>
      </c>
      <c r="CE437" t="s">
        <v>116</v>
      </c>
      <c r="CF437" s="3">
        <v>45897</v>
      </c>
      <c r="CI437">
        <v>2</v>
      </c>
      <c r="CJ437">
        <v>2</v>
      </c>
      <c r="CK437">
        <v>23</v>
      </c>
      <c r="CL437" t="s">
        <v>90</v>
      </c>
    </row>
    <row r="438" spans="1:90" x14ac:dyDescent="0.3">
      <c r="A438" t="s">
        <v>72</v>
      </c>
      <c r="B438" t="s">
        <v>73</v>
      </c>
      <c r="C438" t="s">
        <v>74</v>
      </c>
      <c r="E438" t="str">
        <f>"GAB2028050"</f>
        <v>GAB2028050</v>
      </c>
      <c r="F438" s="3">
        <v>45894</v>
      </c>
      <c r="G438">
        <v>202605</v>
      </c>
      <c r="H438" t="s">
        <v>75</v>
      </c>
      <c r="I438" t="s">
        <v>76</v>
      </c>
      <c r="J438" t="s">
        <v>77</v>
      </c>
      <c r="K438" t="s">
        <v>78</v>
      </c>
      <c r="L438" t="s">
        <v>118</v>
      </c>
      <c r="M438" t="s">
        <v>119</v>
      </c>
      <c r="N438" t="s">
        <v>120</v>
      </c>
      <c r="O438" t="s">
        <v>100</v>
      </c>
      <c r="P438" t="str">
        <f>"INV-00120419 CT096808         "</f>
        <v xml:space="preserve">INV-00120419 CT096808         </v>
      </c>
      <c r="Q438">
        <v>0</v>
      </c>
      <c r="R438">
        <v>0</v>
      </c>
      <c r="S438">
        <v>0</v>
      </c>
      <c r="T438">
        <v>0</v>
      </c>
      <c r="U438">
        <v>0</v>
      </c>
      <c r="V438">
        <v>0</v>
      </c>
      <c r="W438">
        <v>0</v>
      </c>
      <c r="X438">
        <v>0</v>
      </c>
      <c r="Y438">
        <v>0</v>
      </c>
      <c r="Z438">
        <v>0</v>
      </c>
      <c r="AA438">
        <v>0</v>
      </c>
      <c r="AB438">
        <v>0</v>
      </c>
      <c r="AC438">
        <v>0</v>
      </c>
      <c r="AD438">
        <v>0</v>
      </c>
      <c r="AE438">
        <v>0</v>
      </c>
      <c r="AF438">
        <v>0</v>
      </c>
      <c r="AG438">
        <v>0</v>
      </c>
      <c r="AH438">
        <v>0</v>
      </c>
      <c r="AI438">
        <v>0</v>
      </c>
      <c r="AJ438">
        <v>0</v>
      </c>
      <c r="AK438">
        <v>0</v>
      </c>
      <c r="AL438">
        <v>0</v>
      </c>
      <c r="AM438">
        <v>0</v>
      </c>
      <c r="AN438">
        <v>0</v>
      </c>
      <c r="AO438">
        <v>0</v>
      </c>
      <c r="AP438">
        <v>0</v>
      </c>
      <c r="AQ438">
        <v>28.85</v>
      </c>
      <c r="AR438">
        <v>0</v>
      </c>
      <c r="AS438">
        <v>0</v>
      </c>
      <c r="AT438">
        <v>0</v>
      </c>
      <c r="AU438">
        <v>0</v>
      </c>
      <c r="AV438">
        <v>0</v>
      </c>
      <c r="AW438">
        <v>0</v>
      </c>
      <c r="AX438">
        <v>0</v>
      </c>
      <c r="AY438">
        <v>0</v>
      </c>
      <c r="AZ438">
        <v>0</v>
      </c>
      <c r="BA438">
        <v>0</v>
      </c>
      <c r="BB438">
        <v>0</v>
      </c>
      <c r="BC438">
        <v>0</v>
      </c>
      <c r="BD438">
        <v>0</v>
      </c>
      <c r="BE438">
        <v>0</v>
      </c>
      <c r="BF438">
        <v>0</v>
      </c>
      <c r="BG438">
        <v>0</v>
      </c>
      <c r="BH438">
        <v>1</v>
      </c>
      <c r="BI438">
        <v>0.7</v>
      </c>
      <c r="BJ438">
        <v>2.4</v>
      </c>
      <c r="BK438">
        <v>2.5</v>
      </c>
      <c r="BL438">
        <v>89.59</v>
      </c>
      <c r="BM438">
        <v>13.44</v>
      </c>
      <c r="BN438">
        <v>103.03</v>
      </c>
      <c r="BO438">
        <v>103.03</v>
      </c>
      <c r="BQ438" t="s">
        <v>121</v>
      </c>
      <c r="BR438" t="s">
        <v>84</v>
      </c>
      <c r="BS438" s="3">
        <v>45896</v>
      </c>
      <c r="BT438" s="4">
        <v>0.3972222222222222</v>
      </c>
      <c r="BU438" t="s">
        <v>1416</v>
      </c>
      <c r="BV438" t="s">
        <v>86</v>
      </c>
      <c r="BY438">
        <v>11925</v>
      </c>
      <c r="BZ438" t="s">
        <v>102</v>
      </c>
      <c r="CA438" t="s">
        <v>123</v>
      </c>
      <c r="CC438" t="s">
        <v>119</v>
      </c>
      <c r="CD438" s="5" t="s">
        <v>124</v>
      </c>
      <c r="CE438" t="s">
        <v>544</v>
      </c>
      <c r="CF438" s="3">
        <v>45896</v>
      </c>
      <c r="CI438">
        <v>2</v>
      </c>
      <c r="CJ438">
        <v>2</v>
      </c>
      <c r="CK438">
        <v>21</v>
      </c>
      <c r="CL438" t="s">
        <v>90</v>
      </c>
    </row>
    <row r="439" spans="1:90" x14ac:dyDescent="0.3">
      <c r="A439" t="s">
        <v>72</v>
      </c>
      <c r="B439" t="s">
        <v>73</v>
      </c>
      <c r="C439" t="s">
        <v>74</v>
      </c>
      <c r="E439" t="str">
        <f>"GAB2028051"</f>
        <v>GAB2028051</v>
      </c>
      <c r="F439" s="3">
        <v>45894</v>
      </c>
      <c r="G439">
        <v>202605</v>
      </c>
      <c r="H439" t="s">
        <v>75</v>
      </c>
      <c r="I439" t="s">
        <v>76</v>
      </c>
      <c r="J439" t="s">
        <v>77</v>
      </c>
      <c r="K439" t="s">
        <v>78</v>
      </c>
      <c r="L439" t="s">
        <v>1417</v>
      </c>
      <c r="M439" t="s">
        <v>1418</v>
      </c>
      <c r="N439" t="s">
        <v>1419</v>
      </c>
      <c r="O439" t="s">
        <v>100</v>
      </c>
      <c r="P439" t="str">
        <f>"INV-00120417 CT096810         "</f>
        <v xml:space="preserve">INV-00120417 CT096810         </v>
      </c>
      <c r="Q439">
        <v>0</v>
      </c>
      <c r="R439">
        <v>0</v>
      </c>
      <c r="S439">
        <v>0</v>
      </c>
      <c r="T439">
        <v>0</v>
      </c>
      <c r="U439">
        <v>0</v>
      </c>
      <c r="V439">
        <v>0</v>
      </c>
      <c r="W439">
        <v>0</v>
      </c>
      <c r="X439">
        <v>0</v>
      </c>
      <c r="Y439">
        <v>0</v>
      </c>
      <c r="Z439">
        <v>0</v>
      </c>
      <c r="AA439">
        <v>0</v>
      </c>
      <c r="AB439">
        <v>0</v>
      </c>
      <c r="AC439">
        <v>0</v>
      </c>
      <c r="AD439">
        <v>0</v>
      </c>
      <c r="AE439">
        <v>0</v>
      </c>
      <c r="AF439">
        <v>0</v>
      </c>
      <c r="AG439">
        <v>0</v>
      </c>
      <c r="AH439">
        <v>0</v>
      </c>
      <c r="AI439">
        <v>0</v>
      </c>
      <c r="AJ439">
        <v>0</v>
      </c>
      <c r="AK439">
        <v>0</v>
      </c>
      <c r="AL439">
        <v>0</v>
      </c>
      <c r="AM439">
        <v>0</v>
      </c>
      <c r="AN439">
        <v>0</v>
      </c>
      <c r="AO439">
        <v>0</v>
      </c>
      <c r="AP439">
        <v>0</v>
      </c>
      <c r="AQ439">
        <v>44.73</v>
      </c>
      <c r="AR439">
        <v>0</v>
      </c>
      <c r="AS439">
        <v>0</v>
      </c>
      <c r="AT439">
        <v>0</v>
      </c>
      <c r="AU439">
        <v>0</v>
      </c>
      <c r="AV439">
        <v>0</v>
      </c>
      <c r="AW439">
        <v>0</v>
      </c>
      <c r="AX439">
        <v>0</v>
      </c>
      <c r="AY439">
        <v>0</v>
      </c>
      <c r="AZ439">
        <v>0</v>
      </c>
      <c r="BA439">
        <v>0</v>
      </c>
      <c r="BB439">
        <v>0</v>
      </c>
      <c r="BC439">
        <v>0</v>
      </c>
      <c r="BD439">
        <v>0</v>
      </c>
      <c r="BE439">
        <v>0</v>
      </c>
      <c r="BF439">
        <v>0</v>
      </c>
      <c r="BG439">
        <v>0</v>
      </c>
      <c r="BH439">
        <v>1</v>
      </c>
      <c r="BI439">
        <v>0.6</v>
      </c>
      <c r="BJ439">
        <v>1.7</v>
      </c>
      <c r="BK439">
        <v>2</v>
      </c>
      <c r="BL439">
        <v>138.88999999999999</v>
      </c>
      <c r="BM439">
        <v>20.83</v>
      </c>
      <c r="BN439">
        <v>159.72</v>
      </c>
      <c r="BO439">
        <v>159.72</v>
      </c>
      <c r="BQ439" t="s">
        <v>135</v>
      </c>
      <c r="BR439" t="s">
        <v>84</v>
      </c>
      <c r="BS439" s="3">
        <v>45896</v>
      </c>
      <c r="BT439" s="4">
        <v>0.5493055555555556</v>
      </c>
      <c r="BU439" t="s">
        <v>1420</v>
      </c>
      <c r="BV439" t="s">
        <v>86</v>
      </c>
      <c r="BY439">
        <v>8552.7000000000007</v>
      </c>
      <c r="BZ439" t="s">
        <v>1213</v>
      </c>
      <c r="CC439" t="s">
        <v>1418</v>
      </c>
      <c r="CD439">
        <v>5435</v>
      </c>
      <c r="CE439" t="s">
        <v>164</v>
      </c>
      <c r="CF439" s="3">
        <v>45896</v>
      </c>
      <c r="CI439">
        <v>5</v>
      </c>
      <c r="CJ439">
        <v>2</v>
      </c>
      <c r="CK439">
        <v>23</v>
      </c>
      <c r="CL439" t="s">
        <v>90</v>
      </c>
    </row>
    <row r="440" spans="1:90" x14ac:dyDescent="0.3">
      <c r="A440" t="s">
        <v>72</v>
      </c>
      <c r="B440" t="s">
        <v>73</v>
      </c>
      <c r="C440" t="s">
        <v>74</v>
      </c>
      <c r="E440" t="str">
        <f>"GAB2028052"</f>
        <v>GAB2028052</v>
      </c>
      <c r="F440" s="3">
        <v>45894</v>
      </c>
      <c r="G440">
        <v>202605</v>
      </c>
      <c r="H440" t="s">
        <v>75</v>
      </c>
      <c r="I440" t="s">
        <v>76</v>
      </c>
      <c r="J440" t="s">
        <v>77</v>
      </c>
      <c r="K440" t="s">
        <v>78</v>
      </c>
      <c r="L440" t="s">
        <v>165</v>
      </c>
      <c r="M440" t="s">
        <v>166</v>
      </c>
      <c r="N440" t="s">
        <v>805</v>
      </c>
      <c r="O440" t="s">
        <v>100</v>
      </c>
      <c r="P440" t="str">
        <f>"INV-00120405 CT096802         "</f>
        <v xml:space="preserve">INV-00120405 CT096802         </v>
      </c>
      <c r="Q440">
        <v>0</v>
      </c>
      <c r="R440">
        <v>0</v>
      </c>
      <c r="S440">
        <v>0</v>
      </c>
      <c r="T440">
        <v>0</v>
      </c>
      <c r="U440">
        <v>0</v>
      </c>
      <c r="V440">
        <v>0</v>
      </c>
      <c r="W440">
        <v>0</v>
      </c>
      <c r="X440">
        <v>0</v>
      </c>
      <c r="Y440">
        <v>0</v>
      </c>
      <c r="Z440">
        <v>0</v>
      </c>
      <c r="AA440">
        <v>0</v>
      </c>
      <c r="AB440">
        <v>0</v>
      </c>
      <c r="AC440">
        <v>0</v>
      </c>
      <c r="AD440">
        <v>0</v>
      </c>
      <c r="AE440">
        <v>0</v>
      </c>
      <c r="AF440">
        <v>0</v>
      </c>
      <c r="AG440">
        <v>0</v>
      </c>
      <c r="AH440">
        <v>0</v>
      </c>
      <c r="AI440">
        <v>0</v>
      </c>
      <c r="AJ440">
        <v>0</v>
      </c>
      <c r="AK440">
        <v>0</v>
      </c>
      <c r="AL440">
        <v>0</v>
      </c>
      <c r="AM440">
        <v>0</v>
      </c>
      <c r="AN440">
        <v>0</v>
      </c>
      <c r="AO440">
        <v>0</v>
      </c>
      <c r="AP440">
        <v>0</v>
      </c>
      <c r="AQ440">
        <v>44.73</v>
      </c>
      <c r="AR440">
        <v>0</v>
      </c>
      <c r="AS440">
        <v>0</v>
      </c>
      <c r="AT440">
        <v>0</v>
      </c>
      <c r="AU440">
        <v>0</v>
      </c>
      <c r="AV440">
        <v>0</v>
      </c>
      <c r="AW440">
        <v>16.739999999999998</v>
      </c>
      <c r="AX440">
        <v>0</v>
      </c>
      <c r="AY440">
        <v>0</v>
      </c>
      <c r="AZ440">
        <v>0</v>
      </c>
      <c r="BA440">
        <v>0</v>
      </c>
      <c r="BB440">
        <v>0</v>
      </c>
      <c r="BC440">
        <v>0</v>
      </c>
      <c r="BD440">
        <v>0</v>
      </c>
      <c r="BE440">
        <v>0</v>
      </c>
      <c r="BF440">
        <v>0</v>
      </c>
      <c r="BG440">
        <v>0</v>
      </c>
      <c r="BH440">
        <v>1</v>
      </c>
      <c r="BI440">
        <v>0.7</v>
      </c>
      <c r="BJ440">
        <v>1.7</v>
      </c>
      <c r="BK440">
        <v>2</v>
      </c>
      <c r="BL440">
        <v>155.63</v>
      </c>
      <c r="BM440">
        <v>23.34</v>
      </c>
      <c r="BN440">
        <v>178.97</v>
      </c>
      <c r="BO440">
        <v>178.97</v>
      </c>
      <c r="BQ440" t="s">
        <v>1421</v>
      </c>
      <c r="BR440" t="s">
        <v>84</v>
      </c>
      <c r="BS440" s="3">
        <v>45896</v>
      </c>
      <c r="BT440" s="4">
        <v>0.41666666666666669</v>
      </c>
      <c r="BU440" t="s">
        <v>1422</v>
      </c>
      <c r="BV440" t="s">
        <v>86</v>
      </c>
      <c r="BY440">
        <v>8474.84</v>
      </c>
      <c r="BZ440" t="s">
        <v>320</v>
      </c>
      <c r="CC440" t="s">
        <v>166</v>
      </c>
      <c r="CD440">
        <v>2745</v>
      </c>
      <c r="CE440" t="s">
        <v>703</v>
      </c>
      <c r="CF440" s="3">
        <v>45897</v>
      </c>
      <c r="CI440">
        <v>2</v>
      </c>
      <c r="CJ440">
        <v>2</v>
      </c>
      <c r="CK440">
        <v>23</v>
      </c>
      <c r="CL440" t="s">
        <v>90</v>
      </c>
    </row>
    <row r="441" spans="1:90" x14ac:dyDescent="0.3">
      <c r="A441" t="s">
        <v>72</v>
      </c>
      <c r="B441" t="s">
        <v>73</v>
      </c>
      <c r="C441" t="s">
        <v>74</v>
      </c>
      <c r="E441" t="str">
        <f>"GAB2028053"</f>
        <v>GAB2028053</v>
      </c>
      <c r="F441" s="3">
        <v>45894</v>
      </c>
      <c r="G441">
        <v>202605</v>
      </c>
      <c r="H441" t="s">
        <v>75</v>
      </c>
      <c r="I441" t="s">
        <v>76</v>
      </c>
      <c r="J441" t="s">
        <v>77</v>
      </c>
      <c r="K441" t="s">
        <v>78</v>
      </c>
      <c r="L441" t="s">
        <v>345</v>
      </c>
      <c r="M441" t="s">
        <v>346</v>
      </c>
      <c r="N441" t="s">
        <v>400</v>
      </c>
      <c r="O441" t="s">
        <v>100</v>
      </c>
      <c r="P441" t="str">
        <f>"INV-00038835 00038834 035762 0"</f>
        <v>INV-00038835 00038834 035762 0</v>
      </c>
      <c r="Q441">
        <v>0</v>
      </c>
      <c r="R441">
        <v>0</v>
      </c>
      <c r="S441">
        <v>0</v>
      </c>
      <c r="T441">
        <v>0</v>
      </c>
      <c r="U441">
        <v>0</v>
      </c>
      <c r="V441">
        <v>0</v>
      </c>
      <c r="W441">
        <v>0</v>
      </c>
      <c r="X441">
        <v>0</v>
      </c>
      <c r="Y441">
        <v>0</v>
      </c>
      <c r="Z441">
        <v>0</v>
      </c>
      <c r="AA441">
        <v>0</v>
      </c>
      <c r="AB441">
        <v>0</v>
      </c>
      <c r="AC441">
        <v>0</v>
      </c>
      <c r="AD441">
        <v>0</v>
      </c>
      <c r="AE441">
        <v>0</v>
      </c>
      <c r="AF441">
        <v>0</v>
      </c>
      <c r="AG441">
        <v>0</v>
      </c>
      <c r="AH441">
        <v>0</v>
      </c>
      <c r="AI441">
        <v>0</v>
      </c>
      <c r="AJ441">
        <v>0</v>
      </c>
      <c r="AK441">
        <v>0</v>
      </c>
      <c r="AL441">
        <v>0</v>
      </c>
      <c r="AM441">
        <v>0</v>
      </c>
      <c r="AN441">
        <v>0</v>
      </c>
      <c r="AO441">
        <v>0</v>
      </c>
      <c r="AP441">
        <v>0</v>
      </c>
      <c r="AQ441">
        <v>40.380000000000003</v>
      </c>
      <c r="AR441">
        <v>0</v>
      </c>
      <c r="AS441">
        <v>0</v>
      </c>
      <c r="AT441">
        <v>0</v>
      </c>
      <c r="AU441">
        <v>0</v>
      </c>
      <c r="AV441">
        <v>0</v>
      </c>
      <c r="AW441">
        <v>0</v>
      </c>
      <c r="AX441">
        <v>0</v>
      </c>
      <c r="AY441">
        <v>0</v>
      </c>
      <c r="AZ441">
        <v>0</v>
      </c>
      <c r="BA441">
        <v>0</v>
      </c>
      <c r="BB441">
        <v>0</v>
      </c>
      <c r="BC441">
        <v>0</v>
      </c>
      <c r="BD441">
        <v>0</v>
      </c>
      <c r="BE441">
        <v>0</v>
      </c>
      <c r="BF441">
        <v>0</v>
      </c>
      <c r="BG441">
        <v>0</v>
      </c>
      <c r="BH441">
        <v>1</v>
      </c>
      <c r="BI441">
        <v>0.4</v>
      </c>
      <c r="BJ441">
        <v>3.3</v>
      </c>
      <c r="BK441">
        <v>3.5</v>
      </c>
      <c r="BL441">
        <v>125.4</v>
      </c>
      <c r="BM441">
        <v>18.809999999999999</v>
      </c>
      <c r="BN441">
        <v>144.21</v>
      </c>
      <c r="BO441">
        <v>144.21</v>
      </c>
      <c r="BQ441" t="s">
        <v>681</v>
      </c>
      <c r="BR441" t="s">
        <v>84</v>
      </c>
      <c r="BS441" s="3">
        <v>45896</v>
      </c>
      <c r="BT441" s="4">
        <v>0.41666666666666669</v>
      </c>
      <c r="BU441" t="s">
        <v>1335</v>
      </c>
      <c r="BV441" t="s">
        <v>86</v>
      </c>
      <c r="BY441">
        <v>16507.5</v>
      </c>
      <c r="BZ441" t="s">
        <v>102</v>
      </c>
      <c r="CC441" t="s">
        <v>346</v>
      </c>
      <c r="CD441">
        <v>9301</v>
      </c>
      <c r="CE441" t="s">
        <v>104</v>
      </c>
      <c r="CF441" s="3">
        <v>45897</v>
      </c>
      <c r="CI441">
        <v>2</v>
      </c>
      <c r="CJ441">
        <v>2</v>
      </c>
      <c r="CK441">
        <v>21</v>
      </c>
      <c r="CL441" t="s">
        <v>90</v>
      </c>
    </row>
    <row r="442" spans="1:90" x14ac:dyDescent="0.3">
      <c r="A442" t="s">
        <v>72</v>
      </c>
      <c r="B442" t="s">
        <v>73</v>
      </c>
      <c r="C442" t="s">
        <v>74</v>
      </c>
      <c r="E442" t="str">
        <f>"009945156788"</f>
        <v>009945156788</v>
      </c>
      <c r="F442" s="3">
        <v>45894</v>
      </c>
      <c r="G442">
        <v>202605</v>
      </c>
      <c r="H442" t="s">
        <v>79</v>
      </c>
      <c r="I442" t="s">
        <v>80</v>
      </c>
      <c r="J442" t="s">
        <v>257</v>
      </c>
      <c r="K442" t="s">
        <v>78</v>
      </c>
      <c r="L442" t="s">
        <v>91</v>
      </c>
      <c r="M442" t="s">
        <v>92</v>
      </c>
      <c r="N442" t="s">
        <v>1423</v>
      </c>
      <c r="O442" t="s">
        <v>82</v>
      </c>
      <c r="P442" t="str">
        <f>"NO REF                        "</f>
        <v xml:space="preserve">NO REF                        </v>
      </c>
      <c r="Q442">
        <v>0</v>
      </c>
      <c r="R442">
        <v>0</v>
      </c>
      <c r="S442">
        <v>0</v>
      </c>
      <c r="T442">
        <v>0</v>
      </c>
      <c r="U442">
        <v>0</v>
      </c>
      <c r="V442">
        <v>0</v>
      </c>
      <c r="W442">
        <v>0</v>
      </c>
      <c r="X442">
        <v>0</v>
      </c>
      <c r="Y442">
        <v>0</v>
      </c>
      <c r="Z442">
        <v>0</v>
      </c>
      <c r="AA442">
        <v>0</v>
      </c>
      <c r="AB442">
        <v>0</v>
      </c>
      <c r="AC442">
        <v>0</v>
      </c>
      <c r="AD442">
        <v>0</v>
      </c>
      <c r="AE442">
        <v>0</v>
      </c>
      <c r="AF442">
        <v>0</v>
      </c>
      <c r="AG442">
        <v>5.87</v>
      </c>
      <c r="AH442">
        <v>0</v>
      </c>
      <c r="AI442">
        <v>0</v>
      </c>
      <c r="AJ442">
        <v>0</v>
      </c>
      <c r="AK442">
        <v>0</v>
      </c>
      <c r="AL442">
        <v>0</v>
      </c>
      <c r="AM442">
        <v>0</v>
      </c>
      <c r="AN442">
        <v>0</v>
      </c>
      <c r="AO442">
        <v>0</v>
      </c>
      <c r="AP442">
        <v>0</v>
      </c>
      <c r="AQ442">
        <v>85.19</v>
      </c>
      <c r="AR442">
        <v>0</v>
      </c>
      <c r="AS442">
        <v>0</v>
      </c>
      <c r="AT442">
        <v>0</v>
      </c>
      <c r="AU442">
        <v>0</v>
      </c>
      <c r="AV442">
        <v>0</v>
      </c>
      <c r="AW442">
        <v>0</v>
      </c>
      <c r="AX442">
        <v>0</v>
      </c>
      <c r="AY442">
        <v>0</v>
      </c>
      <c r="AZ442">
        <v>0</v>
      </c>
      <c r="BA442">
        <v>0</v>
      </c>
      <c r="BB442">
        <v>0</v>
      </c>
      <c r="BC442">
        <v>0</v>
      </c>
      <c r="BD442">
        <v>0</v>
      </c>
      <c r="BE442">
        <v>0</v>
      </c>
      <c r="BF442">
        <v>0</v>
      </c>
      <c r="BG442">
        <v>0</v>
      </c>
      <c r="BH442">
        <v>12</v>
      </c>
      <c r="BI442">
        <v>25.8</v>
      </c>
      <c r="BJ442">
        <v>36.9</v>
      </c>
      <c r="BK442">
        <v>37</v>
      </c>
      <c r="BL442">
        <v>270.39999999999998</v>
      </c>
      <c r="BM442">
        <v>40.56</v>
      </c>
      <c r="BN442">
        <v>310.95999999999998</v>
      </c>
      <c r="BO442">
        <v>310.95999999999998</v>
      </c>
      <c r="BQ442" t="s">
        <v>604</v>
      </c>
      <c r="BR442" t="s">
        <v>1424</v>
      </c>
      <c r="BS442" s="3">
        <v>45897</v>
      </c>
      <c r="BT442" s="4">
        <v>0.43819444444444444</v>
      </c>
      <c r="BU442" t="s">
        <v>1425</v>
      </c>
      <c r="BV442" t="s">
        <v>90</v>
      </c>
      <c r="BW442" t="s">
        <v>294</v>
      </c>
      <c r="BX442" t="s">
        <v>524</v>
      </c>
      <c r="BY442">
        <v>15360</v>
      </c>
      <c r="BZ442" t="s">
        <v>606</v>
      </c>
      <c r="CC442" t="s">
        <v>92</v>
      </c>
      <c r="CD442">
        <v>4000</v>
      </c>
      <c r="CE442" t="s">
        <v>176</v>
      </c>
      <c r="CF442" s="3">
        <v>45898</v>
      </c>
      <c r="CI442">
        <v>1</v>
      </c>
      <c r="CJ442">
        <v>3</v>
      </c>
      <c r="CK442">
        <v>41</v>
      </c>
      <c r="CL442" t="s">
        <v>90</v>
      </c>
    </row>
    <row r="443" spans="1:90" x14ac:dyDescent="0.3">
      <c r="A443" t="s">
        <v>72</v>
      </c>
      <c r="B443" t="s">
        <v>73</v>
      </c>
      <c r="C443" t="s">
        <v>74</v>
      </c>
      <c r="E443" t="str">
        <f>"009945156787"</f>
        <v>009945156787</v>
      </c>
      <c r="F443" s="3">
        <v>45894</v>
      </c>
      <c r="G443">
        <v>202605</v>
      </c>
      <c r="H443" t="s">
        <v>79</v>
      </c>
      <c r="I443" t="s">
        <v>80</v>
      </c>
      <c r="J443" t="s">
        <v>257</v>
      </c>
      <c r="K443" t="s">
        <v>78</v>
      </c>
      <c r="L443" t="s">
        <v>118</v>
      </c>
      <c r="M443" t="s">
        <v>119</v>
      </c>
      <c r="N443" t="s">
        <v>1426</v>
      </c>
      <c r="O443" t="s">
        <v>100</v>
      </c>
      <c r="P443" t="str">
        <f>"NO REF                        "</f>
        <v xml:space="preserve">NO REF                        </v>
      </c>
      <c r="Q443">
        <v>0</v>
      </c>
      <c r="R443">
        <v>0</v>
      </c>
      <c r="S443">
        <v>0</v>
      </c>
      <c r="T443">
        <v>0</v>
      </c>
      <c r="U443">
        <v>0</v>
      </c>
      <c r="V443">
        <v>0</v>
      </c>
      <c r="W443">
        <v>0</v>
      </c>
      <c r="X443">
        <v>0</v>
      </c>
      <c r="Y443">
        <v>0</v>
      </c>
      <c r="Z443">
        <v>0</v>
      </c>
      <c r="AA443">
        <v>0</v>
      </c>
      <c r="AB443">
        <v>0</v>
      </c>
      <c r="AC443">
        <v>0</v>
      </c>
      <c r="AD443">
        <v>0</v>
      </c>
      <c r="AE443">
        <v>0</v>
      </c>
      <c r="AF443">
        <v>0</v>
      </c>
      <c r="AG443">
        <v>0</v>
      </c>
      <c r="AH443">
        <v>0</v>
      </c>
      <c r="AI443">
        <v>0</v>
      </c>
      <c r="AJ443">
        <v>0</v>
      </c>
      <c r="AK443">
        <v>0</v>
      </c>
      <c r="AL443">
        <v>0</v>
      </c>
      <c r="AM443">
        <v>0</v>
      </c>
      <c r="AN443">
        <v>0</v>
      </c>
      <c r="AO443">
        <v>0</v>
      </c>
      <c r="AP443">
        <v>0</v>
      </c>
      <c r="AQ443">
        <v>40.380000000000003</v>
      </c>
      <c r="AR443">
        <v>0</v>
      </c>
      <c r="AS443">
        <v>0</v>
      </c>
      <c r="AT443">
        <v>0</v>
      </c>
      <c r="AU443">
        <v>0</v>
      </c>
      <c r="AV443">
        <v>0</v>
      </c>
      <c r="AW443">
        <v>0</v>
      </c>
      <c r="AX443">
        <v>0</v>
      </c>
      <c r="AY443">
        <v>0</v>
      </c>
      <c r="AZ443">
        <v>0</v>
      </c>
      <c r="BA443">
        <v>0</v>
      </c>
      <c r="BB443">
        <v>0</v>
      </c>
      <c r="BC443">
        <v>0</v>
      </c>
      <c r="BD443">
        <v>0</v>
      </c>
      <c r="BE443">
        <v>0</v>
      </c>
      <c r="BF443">
        <v>0</v>
      </c>
      <c r="BG443">
        <v>0</v>
      </c>
      <c r="BH443">
        <v>1</v>
      </c>
      <c r="BI443">
        <v>2.2000000000000002</v>
      </c>
      <c r="BJ443">
        <v>3.1</v>
      </c>
      <c r="BK443">
        <v>3.5</v>
      </c>
      <c r="BL443">
        <v>125.4</v>
      </c>
      <c r="BM443">
        <v>18.809999999999999</v>
      </c>
      <c r="BN443">
        <v>144.21</v>
      </c>
      <c r="BO443">
        <v>144.21</v>
      </c>
      <c r="BQ443" t="s">
        <v>1427</v>
      </c>
      <c r="BR443" t="s">
        <v>608</v>
      </c>
      <c r="BS443" s="3">
        <v>45895</v>
      </c>
      <c r="BT443" s="4">
        <v>0.43888888888888888</v>
      </c>
      <c r="BU443" t="s">
        <v>1428</v>
      </c>
      <c r="BV443" t="s">
        <v>90</v>
      </c>
      <c r="BY443">
        <v>15360</v>
      </c>
      <c r="BZ443" t="s">
        <v>102</v>
      </c>
      <c r="CA443" t="s">
        <v>1429</v>
      </c>
      <c r="CC443" t="s">
        <v>119</v>
      </c>
      <c r="CD443" s="5" t="s">
        <v>124</v>
      </c>
      <c r="CE443" t="s">
        <v>176</v>
      </c>
      <c r="CF443" s="3">
        <v>45895</v>
      </c>
      <c r="CI443">
        <v>1</v>
      </c>
      <c r="CJ443">
        <v>1</v>
      </c>
      <c r="CK443">
        <v>21</v>
      </c>
      <c r="CL443" t="s">
        <v>90</v>
      </c>
    </row>
    <row r="444" spans="1:90" x14ac:dyDescent="0.3">
      <c r="A444" t="s">
        <v>72</v>
      </c>
      <c r="B444" t="s">
        <v>73</v>
      </c>
      <c r="C444" t="s">
        <v>74</v>
      </c>
      <c r="E444" t="str">
        <f>"009945156785"</f>
        <v>009945156785</v>
      </c>
      <c r="F444" s="3">
        <v>45894</v>
      </c>
      <c r="G444">
        <v>202605</v>
      </c>
      <c r="H444" t="s">
        <v>79</v>
      </c>
      <c r="I444" t="s">
        <v>80</v>
      </c>
      <c r="J444" t="s">
        <v>257</v>
      </c>
      <c r="K444" t="s">
        <v>78</v>
      </c>
      <c r="L444" t="s">
        <v>118</v>
      </c>
      <c r="M444" t="s">
        <v>119</v>
      </c>
      <c r="N444" t="s">
        <v>1430</v>
      </c>
      <c r="O444" t="s">
        <v>100</v>
      </c>
      <c r="P444" t="str">
        <f>"NO REF                        "</f>
        <v xml:space="preserve">NO REF                        </v>
      </c>
      <c r="Q444">
        <v>0</v>
      </c>
      <c r="R444">
        <v>0</v>
      </c>
      <c r="S444">
        <v>0</v>
      </c>
      <c r="T444">
        <v>0</v>
      </c>
      <c r="U444">
        <v>0</v>
      </c>
      <c r="V444">
        <v>0</v>
      </c>
      <c r="W444">
        <v>0</v>
      </c>
      <c r="X444">
        <v>0</v>
      </c>
      <c r="Y444">
        <v>0</v>
      </c>
      <c r="Z444">
        <v>0</v>
      </c>
      <c r="AA444">
        <v>0</v>
      </c>
      <c r="AB444">
        <v>0</v>
      </c>
      <c r="AC444">
        <v>0</v>
      </c>
      <c r="AD444">
        <v>0</v>
      </c>
      <c r="AE444">
        <v>0</v>
      </c>
      <c r="AF444">
        <v>0</v>
      </c>
      <c r="AG444">
        <v>0</v>
      </c>
      <c r="AH444">
        <v>0</v>
      </c>
      <c r="AI444">
        <v>0</v>
      </c>
      <c r="AJ444">
        <v>0</v>
      </c>
      <c r="AK444">
        <v>0</v>
      </c>
      <c r="AL444">
        <v>0</v>
      </c>
      <c r="AM444">
        <v>0</v>
      </c>
      <c r="AN444">
        <v>0</v>
      </c>
      <c r="AO444">
        <v>0</v>
      </c>
      <c r="AP444">
        <v>0</v>
      </c>
      <c r="AQ444">
        <v>40.380000000000003</v>
      </c>
      <c r="AR444">
        <v>0</v>
      </c>
      <c r="AS444">
        <v>0</v>
      </c>
      <c r="AT444">
        <v>0</v>
      </c>
      <c r="AU444">
        <v>0</v>
      </c>
      <c r="AV444">
        <v>0</v>
      </c>
      <c r="AW444">
        <v>0</v>
      </c>
      <c r="AX444">
        <v>0</v>
      </c>
      <c r="AY444">
        <v>0</v>
      </c>
      <c r="AZ444">
        <v>0</v>
      </c>
      <c r="BA444">
        <v>0</v>
      </c>
      <c r="BB444">
        <v>0</v>
      </c>
      <c r="BC444">
        <v>0</v>
      </c>
      <c r="BD444">
        <v>0</v>
      </c>
      <c r="BE444">
        <v>0</v>
      </c>
      <c r="BF444">
        <v>0</v>
      </c>
      <c r="BG444">
        <v>0</v>
      </c>
      <c r="BH444">
        <v>1</v>
      </c>
      <c r="BI444">
        <v>2.2000000000000002</v>
      </c>
      <c r="BJ444">
        <v>3.1</v>
      </c>
      <c r="BK444">
        <v>3.5</v>
      </c>
      <c r="BL444">
        <v>125.4</v>
      </c>
      <c r="BM444">
        <v>18.809999999999999</v>
      </c>
      <c r="BN444">
        <v>144.21</v>
      </c>
      <c r="BO444">
        <v>144.21</v>
      </c>
      <c r="BQ444" t="s">
        <v>1431</v>
      </c>
      <c r="BR444" t="s">
        <v>608</v>
      </c>
      <c r="BS444" s="3">
        <v>45895</v>
      </c>
      <c r="BT444" s="4">
        <v>0.56458333333333333</v>
      </c>
      <c r="BU444" t="s">
        <v>1432</v>
      </c>
      <c r="BV444" t="s">
        <v>90</v>
      </c>
      <c r="BW444" t="s">
        <v>1433</v>
      </c>
      <c r="BX444" t="s">
        <v>690</v>
      </c>
      <c r="BY444">
        <v>15360</v>
      </c>
      <c r="BZ444" t="s">
        <v>102</v>
      </c>
      <c r="CC444" t="s">
        <v>119</v>
      </c>
      <c r="CD444" s="5" t="s">
        <v>124</v>
      </c>
      <c r="CE444" t="s">
        <v>176</v>
      </c>
      <c r="CF444" s="3">
        <v>45895</v>
      </c>
      <c r="CI444">
        <v>1</v>
      </c>
      <c r="CJ444">
        <v>1</v>
      </c>
      <c r="CK444">
        <v>21</v>
      </c>
      <c r="CL444" t="s">
        <v>90</v>
      </c>
    </row>
    <row r="445" spans="1:90" x14ac:dyDescent="0.3">
      <c r="A445" t="s">
        <v>72</v>
      </c>
      <c r="B445" t="s">
        <v>73</v>
      </c>
      <c r="C445" t="s">
        <v>74</v>
      </c>
      <c r="E445" t="str">
        <f>"009945156786"</f>
        <v>009945156786</v>
      </c>
      <c r="F445" s="3">
        <v>45894</v>
      </c>
      <c r="G445">
        <v>202605</v>
      </c>
      <c r="H445" t="s">
        <v>79</v>
      </c>
      <c r="I445" t="s">
        <v>80</v>
      </c>
      <c r="J445" t="s">
        <v>257</v>
      </c>
      <c r="K445" t="s">
        <v>78</v>
      </c>
      <c r="L445" t="s">
        <v>91</v>
      </c>
      <c r="M445" t="s">
        <v>92</v>
      </c>
      <c r="N445" t="s">
        <v>257</v>
      </c>
      <c r="O445" t="s">
        <v>82</v>
      </c>
      <c r="P445" t="str">
        <f>"NO REF                        "</f>
        <v xml:space="preserve">NO REF                        </v>
      </c>
      <c r="Q445">
        <v>0</v>
      </c>
      <c r="R445">
        <v>0</v>
      </c>
      <c r="S445">
        <v>0</v>
      </c>
      <c r="T445">
        <v>0</v>
      </c>
      <c r="U445">
        <v>0</v>
      </c>
      <c r="V445">
        <v>0</v>
      </c>
      <c r="W445">
        <v>0</v>
      </c>
      <c r="X445">
        <v>0</v>
      </c>
      <c r="Y445">
        <v>0</v>
      </c>
      <c r="Z445">
        <v>0</v>
      </c>
      <c r="AA445">
        <v>0</v>
      </c>
      <c r="AB445">
        <v>0</v>
      </c>
      <c r="AC445">
        <v>0</v>
      </c>
      <c r="AD445">
        <v>0</v>
      </c>
      <c r="AE445">
        <v>0</v>
      </c>
      <c r="AF445">
        <v>0</v>
      </c>
      <c r="AG445">
        <v>5.87</v>
      </c>
      <c r="AH445">
        <v>0</v>
      </c>
      <c r="AI445">
        <v>0</v>
      </c>
      <c r="AJ445">
        <v>0</v>
      </c>
      <c r="AK445">
        <v>0</v>
      </c>
      <c r="AL445">
        <v>0</v>
      </c>
      <c r="AM445">
        <v>0</v>
      </c>
      <c r="AN445">
        <v>0</v>
      </c>
      <c r="AO445">
        <v>0</v>
      </c>
      <c r="AP445">
        <v>0</v>
      </c>
      <c r="AQ445">
        <v>44.64</v>
      </c>
      <c r="AR445">
        <v>0</v>
      </c>
      <c r="AS445">
        <v>0</v>
      </c>
      <c r="AT445">
        <v>0</v>
      </c>
      <c r="AU445">
        <v>0</v>
      </c>
      <c r="AV445">
        <v>0</v>
      </c>
      <c r="AW445">
        <v>0</v>
      </c>
      <c r="AX445">
        <v>0</v>
      </c>
      <c r="AY445">
        <v>0</v>
      </c>
      <c r="AZ445">
        <v>0</v>
      </c>
      <c r="BA445">
        <v>0</v>
      </c>
      <c r="BB445">
        <v>0</v>
      </c>
      <c r="BC445">
        <v>0</v>
      </c>
      <c r="BD445">
        <v>0</v>
      </c>
      <c r="BE445">
        <v>0</v>
      </c>
      <c r="BF445">
        <v>0</v>
      </c>
      <c r="BG445">
        <v>0</v>
      </c>
      <c r="BH445">
        <v>1</v>
      </c>
      <c r="BI445">
        <v>3</v>
      </c>
      <c r="BJ445">
        <v>7.2</v>
      </c>
      <c r="BK445">
        <v>8</v>
      </c>
      <c r="BL445">
        <v>144.49</v>
      </c>
      <c r="BM445">
        <v>21.67</v>
      </c>
      <c r="BN445">
        <v>166.16</v>
      </c>
      <c r="BO445">
        <v>166.16</v>
      </c>
      <c r="BQ445" t="s">
        <v>1434</v>
      </c>
      <c r="BR445" t="s">
        <v>608</v>
      </c>
      <c r="BS445" s="3">
        <v>45897</v>
      </c>
      <c r="BT445" s="4">
        <v>0.35069444444444442</v>
      </c>
      <c r="BU445" t="s">
        <v>594</v>
      </c>
      <c r="BV445" t="s">
        <v>90</v>
      </c>
      <c r="BW445" t="s">
        <v>605</v>
      </c>
      <c r="BX445" t="s">
        <v>524</v>
      </c>
      <c r="BY445">
        <v>36000</v>
      </c>
      <c r="BZ445" t="s">
        <v>606</v>
      </c>
      <c r="CC445" t="s">
        <v>92</v>
      </c>
      <c r="CD445">
        <v>4000</v>
      </c>
      <c r="CE445" t="s">
        <v>176</v>
      </c>
      <c r="CF445" s="3">
        <v>45898</v>
      </c>
      <c r="CI445">
        <v>1</v>
      </c>
      <c r="CJ445">
        <v>3</v>
      </c>
      <c r="CK445">
        <v>41</v>
      </c>
      <c r="CL445" t="s">
        <v>90</v>
      </c>
    </row>
    <row r="446" spans="1:90" x14ac:dyDescent="0.3">
      <c r="A446" t="s">
        <v>72</v>
      </c>
      <c r="B446" t="s">
        <v>73</v>
      </c>
      <c r="C446" t="s">
        <v>74</v>
      </c>
      <c r="E446" t="str">
        <f>"GAB2028056"</f>
        <v>GAB2028056</v>
      </c>
      <c r="F446" s="3">
        <v>45895</v>
      </c>
      <c r="G446">
        <v>202605</v>
      </c>
      <c r="H446" t="s">
        <v>75</v>
      </c>
      <c r="I446" t="s">
        <v>76</v>
      </c>
      <c r="J446" t="s">
        <v>77</v>
      </c>
      <c r="K446" t="s">
        <v>78</v>
      </c>
      <c r="L446" t="s">
        <v>345</v>
      </c>
      <c r="M446" t="s">
        <v>346</v>
      </c>
      <c r="N446" t="s">
        <v>1028</v>
      </c>
      <c r="O446" t="s">
        <v>82</v>
      </c>
      <c r="P446" t="str">
        <f>"INV-00120426 CT096811         "</f>
        <v xml:space="preserve">INV-00120426 CT096811         </v>
      </c>
      <c r="Q446">
        <v>0</v>
      </c>
      <c r="R446">
        <v>0</v>
      </c>
      <c r="S446">
        <v>0</v>
      </c>
      <c r="T446">
        <v>0</v>
      </c>
      <c r="U446">
        <v>0</v>
      </c>
      <c r="V446">
        <v>0</v>
      </c>
      <c r="W446">
        <v>0</v>
      </c>
      <c r="X446">
        <v>0</v>
      </c>
      <c r="Y446">
        <v>0</v>
      </c>
      <c r="Z446">
        <v>0</v>
      </c>
      <c r="AA446">
        <v>0</v>
      </c>
      <c r="AB446">
        <v>0</v>
      </c>
      <c r="AC446">
        <v>0</v>
      </c>
      <c r="AD446">
        <v>0</v>
      </c>
      <c r="AE446">
        <v>0</v>
      </c>
      <c r="AF446">
        <v>0</v>
      </c>
      <c r="AG446">
        <v>5.87</v>
      </c>
      <c r="AH446">
        <v>0</v>
      </c>
      <c r="AI446">
        <v>0</v>
      </c>
      <c r="AJ446">
        <v>0</v>
      </c>
      <c r="AK446">
        <v>0</v>
      </c>
      <c r="AL446">
        <v>0</v>
      </c>
      <c r="AM446">
        <v>0</v>
      </c>
      <c r="AN446">
        <v>0</v>
      </c>
      <c r="AO446">
        <v>0</v>
      </c>
      <c r="AP446">
        <v>0</v>
      </c>
      <c r="AQ446">
        <v>66.760000000000005</v>
      </c>
      <c r="AR446">
        <v>0</v>
      </c>
      <c r="AS446">
        <v>0</v>
      </c>
      <c r="AT446">
        <v>0</v>
      </c>
      <c r="AU446">
        <v>0</v>
      </c>
      <c r="AV446">
        <v>0</v>
      </c>
      <c r="AW446">
        <v>0</v>
      </c>
      <c r="AX446">
        <v>0</v>
      </c>
      <c r="AY446">
        <v>0</v>
      </c>
      <c r="AZ446">
        <v>0</v>
      </c>
      <c r="BA446">
        <v>0</v>
      </c>
      <c r="BB446">
        <v>0</v>
      </c>
      <c r="BC446">
        <v>0</v>
      </c>
      <c r="BD446">
        <v>0</v>
      </c>
      <c r="BE446">
        <v>0</v>
      </c>
      <c r="BF446">
        <v>0</v>
      </c>
      <c r="BG446">
        <v>0</v>
      </c>
      <c r="BH446">
        <v>2</v>
      </c>
      <c r="BI446">
        <v>8.4</v>
      </c>
      <c r="BJ446">
        <v>26.9</v>
      </c>
      <c r="BK446">
        <v>27</v>
      </c>
      <c r="BL446">
        <v>213.17</v>
      </c>
      <c r="BM446">
        <v>31.98</v>
      </c>
      <c r="BN446">
        <v>245.15</v>
      </c>
      <c r="BO446">
        <v>245.15</v>
      </c>
      <c r="BR446" t="s">
        <v>84</v>
      </c>
      <c r="BS446" s="3">
        <v>45897</v>
      </c>
      <c r="BT446" s="4">
        <v>0.50902777777777775</v>
      </c>
      <c r="BU446" t="s">
        <v>1133</v>
      </c>
      <c r="BV446" t="s">
        <v>86</v>
      </c>
      <c r="BY446">
        <v>134568.46</v>
      </c>
      <c r="CC446" t="s">
        <v>346</v>
      </c>
      <c r="CD446">
        <v>9301</v>
      </c>
      <c r="CE446" t="s">
        <v>386</v>
      </c>
      <c r="CI446">
        <v>4</v>
      </c>
      <c r="CJ446">
        <v>2</v>
      </c>
      <c r="CK446">
        <v>41</v>
      </c>
      <c r="CL446" t="s">
        <v>90</v>
      </c>
    </row>
    <row r="447" spans="1:90" x14ac:dyDescent="0.3">
      <c r="A447" t="s">
        <v>72</v>
      </c>
      <c r="B447" t="s">
        <v>73</v>
      </c>
      <c r="C447" t="s">
        <v>74</v>
      </c>
      <c r="E447" t="str">
        <f>"GAB2028058"</f>
        <v>GAB2028058</v>
      </c>
      <c r="F447" s="3">
        <v>45895</v>
      </c>
      <c r="G447">
        <v>202605</v>
      </c>
      <c r="H447" t="s">
        <v>75</v>
      </c>
      <c r="I447" t="s">
        <v>76</v>
      </c>
      <c r="J447" t="s">
        <v>77</v>
      </c>
      <c r="K447" t="s">
        <v>78</v>
      </c>
      <c r="L447" t="s">
        <v>315</v>
      </c>
      <c r="M447" t="s">
        <v>316</v>
      </c>
      <c r="N447" t="s">
        <v>317</v>
      </c>
      <c r="O447" t="s">
        <v>82</v>
      </c>
      <c r="P447" t="str">
        <f>"INV-00120423 CT096782         "</f>
        <v xml:space="preserve">INV-00120423 CT096782         </v>
      </c>
      <c r="Q447">
        <v>0</v>
      </c>
      <c r="R447">
        <v>0</v>
      </c>
      <c r="S447">
        <v>0</v>
      </c>
      <c r="T447">
        <v>0</v>
      </c>
      <c r="U447">
        <v>0</v>
      </c>
      <c r="V447">
        <v>0</v>
      </c>
      <c r="W447">
        <v>0</v>
      </c>
      <c r="X447">
        <v>0</v>
      </c>
      <c r="Y447">
        <v>0</v>
      </c>
      <c r="Z447">
        <v>0</v>
      </c>
      <c r="AA447">
        <v>0</v>
      </c>
      <c r="AB447">
        <v>0</v>
      </c>
      <c r="AC447">
        <v>0</v>
      </c>
      <c r="AD447">
        <v>0</v>
      </c>
      <c r="AE447">
        <v>0</v>
      </c>
      <c r="AF447">
        <v>0</v>
      </c>
      <c r="AG447">
        <v>5.87</v>
      </c>
      <c r="AH447">
        <v>0</v>
      </c>
      <c r="AI447">
        <v>0</v>
      </c>
      <c r="AJ447">
        <v>0</v>
      </c>
      <c r="AK447">
        <v>0</v>
      </c>
      <c r="AL447">
        <v>0</v>
      </c>
      <c r="AM447">
        <v>0</v>
      </c>
      <c r="AN447">
        <v>0</v>
      </c>
      <c r="AO447">
        <v>0</v>
      </c>
      <c r="AP447">
        <v>0</v>
      </c>
      <c r="AQ447">
        <v>44.64</v>
      </c>
      <c r="AR447">
        <v>0</v>
      </c>
      <c r="AS447">
        <v>0</v>
      </c>
      <c r="AT447">
        <v>0</v>
      </c>
      <c r="AU447">
        <v>0</v>
      </c>
      <c r="AV447">
        <v>0</v>
      </c>
      <c r="AW447">
        <v>0</v>
      </c>
      <c r="AX447">
        <v>0</v>
      </c>
      <c r="AY447">
        <v>0</v>
      </c>
      <c r="AZ447">
        <v>0</v>
      </c>
      <c r="BA447">
        <v>0</v>
      </c>
      <c r="BB447">
        <v>0</v>
      </c>
      <c r="BC447">
        <v>0</v>
      </c>
      <c r="BD447">
        <v>0</v>
      </c>
      <c r="BE447">
        <v>0</v>
      </c>
      <c r="BF447">
        <v>0</v>
      </c>
      <c r="BG447">
        <v>0</v>
      </c>
      <c r="BH447">
        <v>1</v>
      </c>
      <c r="BI447">
        <v>0.8</v>
      </c>
      <c r="BJ447">
        <v>2.2999999999999998</v>
      </c>
      <c r="BK447">
        <v>3</v>
      </c>
      <c r="BL447">
        <v>144.49</v>
      </c>
      <c r="BM447">
        <v>21.67</v>
      </c>
      <c r="BN447">
        <v>166.16</v>
      </c>
      <c r="BO447">
        <v>166.16</v>
      </c>
      <c r="BR447" t="s">
        <v>84</v>
      </c>
      <c r="BS447" t="s">
        <v>176</v>
      </c>
      <c r="BY447">
        <v>11601.45</v>
      </c>
      <c r="CC447" t="s">
        <v>316</v>
      </c>
      <c r="CD447">
        <v>4133</v>
      </c>
      <c r="CE447" t="s">
        <v>89</v>
      </c>
      <c r="CI447">
        <v>3</v>
      </c>
      <c r="CJ447" t="s">
        <v>176</v>
      </c>
      <c r="CK447">
        <v>41</v>
      </c>
      <c r="CL447" t="s">
        <v>90</v>
      </c>
    </row>
    <row r="448" spans="1:90" x14ac:dyDescent="0.3">
      <c r="A448" t="s">
        <v>72</v>
      </c>
      <c r="B448" t="s">
        <v>73</v>
      </c>
      <c r="C448" t="s">
        <v>74</v>
      </c>
      <c r="E448" t="str">
        <f>"GAB2028059"</f>
        <v>GAB2028059</v>
      </c>
      <c r="F448" s="3">
        <v>45895</v>
      </c>
      <c r="G448">
        <v>202605</v>
      </c>
      <c r="H448" t="s">
        <v>75</v>
      </c>
      <c r="I448" t="s">
        <v>76</v>
      </c>
      <c r="J448" t="s">
        <v>77</v>
      </c>
      <c r="K448" t="s">
        <v>78</v>
      </c>
      <c r="L448" t="s">
        <v>79</v>
      </c>
      <c r="M448" t="s">
        <v>80</v>
      </c>
      <c r="N448" t="s">
        <v>1435</v>
      </c>
      <c r="O448" t="s">
        <v>82</v>
      </c>
      <c r="P448" t="str">
        <f>"INV-00120434 CT096748         "</f>
        <v xml:space="preserve">INV-00120434 CT096748         </v>
      </c>
      <c r="Q448">
        <v>0</v>
      </c>
      <c r="R448">
        <v>0</v>
      </c>
      <c r="S448">
        <v>0</v>
      </c>
      <c r="T448">
        <v>0</v>
      </c>
      <c r="U448">
        <v>0</v>
      </c>
      <c r="V448">
        <v>0</v>
      </c>
      <c r="W448">
        <v>0</v>
      </c>
      <c r="X448">
        <v>0</v>
      </c>
      <c r="Y448">
        <v>0</v>
      </c>
      <c r="Z448">
        <v>0</v>
      </c>
      <c r="AA448">
        <v>0</v>
      </c>
      <c r="AB448">
        <v>0</v>
      </c>
      <c r="AC448">
        <v>0</v>
      </c>
      <c r="AD448">
        <v>0</v>
      </c>
      <c r="AE448">
        <v>0</v>
      </c>
      <c r="AF448">
        <v>0</v>
      </c>
      <c r="AG448">
        <v>5.87</v>
      </c>
      <c r="AH448">
        <v>0</v>
      </c>
      <c r="AI448">
        <v>0</v>
      </c>
      <c r="AJ448">
        <v>0</v>
      </c>
      <c r="AK448">
        <v>0</v>
      </c>
      <c r="AL448">
        <v>0</v>
      </c>
      <c r="AM448">
        <v>0</v>
      </c>
      <c r="AN448">
        <v>0</v>
      </c>
      <c r="AO448">
        <v>0</v>
      </c>
      <c r="AP448">
        <v>0</v>
      </c>
      <c r="AQ448">
        <v>44.64</v>
      </c>
      <c r="AR448">
        <v>0</v>
      </c>
      <c r="AS448">
        <v>0</v>
      </c>
      <c r="AT448">
        <v>0</v>
      </c>
      <c r="AU448">
        <v>0</v>
      </c>
      <c r="AV448">
        <v>0</v>
      </c>
      <c r="AW448">
        <v>0</v>
      </c>
      <c r="AX448">
        <v>0</v>
      </c>
      <c r="AY448">
        <v>0</v>
      </c>
      <c r="AZ448">
        <v>0</v>
      </c>
      <c r="BA448">
        <v>0</v>
      </c>
      <c r="BB448">
        <v>0</v>
      </c>
      <c r="BC448">
        <v>0</v>
      </c>
      <c r="BD448">
        <v>0</v>
      </c>
      <c r="BE448">
        <v>0</v>
      </c>
      <c r="BF448">
        <v>0</v>
      </c>
      <c r="BG448">
        <v>0</v>
      </c>
      <c r="BH448">
        <v>1</v>
      </c>
      <c r="BI448">
        <v>4.0999999999999996</v>
      </c>
      <c r="BJ448">
        <v>12.4</v>
      </c>
      <c r="BK448">
        <v>13</v>
      </c>
      <c r="BL448">
        <v>144.49</v>
      </c>
      <c r="BM448">
        <v>21.67</v>
      </c>
      <c r="BN448">
        <v>166.16</v>
      </c>
      <c r="BO448">
        <v>166.16</v>
      </c>
      <c r="BQ448" t="s">
        <v>1436</v>
      </c>
      <c r="BR448" t="s">
        <v>84</v>
      </c>
      <c r="BS448" s="3">
        <v>45897</v>
      </c>
      <c r="BT448" s="4">
        <v>0.43680555555555556</v>
      </c>
      <c r="BU448" t="s">
        <v>155</v>
      </c>
      <c r="BV448" t="s">
        <v>86</v>
      </c>
      <c r="BY448">
        <v>61751.15</v>
      </c>
      <c r="CA448" t="s">
        <v>1437</v>
      </c>
      <c r="CC448" t="s">
        <v>80</v>
      </c>
      <c r="CD448" s="5" t="s">
        <v>237</v>
      </c>
      <c r="CE448" t="s">
        <v>89</v>
      </c>
      <c r="CF448" s="3">
        <v>45897</v>
      </c>
      <c r="CI448">
        <v>3</v>
      </c>
      <c r="CJ448">
        <v>2</v>
      </c>
      <c r="CK448">
        <v>41</v>
      </c>
      <c r="CL448" t="s">
        <v>90</v>
      </c>
    </row>
    <row r="449" spans="1:90" x14ac:dyDescent="0.3">
      <c r="A449" t="s">
        <v>72</v>
      </c>
      <c r="B449" t="s">
        <v>73</v>
      </c>
      <c r="C449" t="s">
        <v>74</v>
      </c>
      <c r="E449" t="str">
        <f>"GAB2028062"</f>
        <v>GAB2028062</v>
      </c>
      <c r="F449" s="3">
        <v>45895</v>
      </c>
      <c r="G449">
        <v>202605</v>
      </c>
      <c r="H449" t="s">
        <v>75</v>
      </c>
      <c r="I449" t="s">
        <v>76</v>
      </c>
      <c r="J449" t="s">
        <v>77</v>
      </c>
      <c r="K449" t="s">
        <v>78</v>
      </c>
      <c r="L449" t="s">
        <v>177</v>
      </c>
      <c r="M449" t="s">
        <v>178</v>
      </c>
      <c r="N449" t="s">
        <v>179</v>
      </c>
      <c r="O449" t="s">
        <v>82</v>
      </c>
      <c r="P449" t="str">
        <f>"INV-00120437 CT096818         "</f>
        <v xml:space="preserve">INV-00120437 CT096818         </v>
      </c>
      <c r="Q449">
        <v>0</v>
      </c>
      <c r="R449">
        <v>0</v>
      </c>
      <c r="S449">
        <v>0</v>
      </c>
      <c r="T449">
        <v>0</v>
      </c>
      <c r="U449">
        <v>0</v>
      </c>
      <c r="V449">
        <v>0</v>
      </c>
      <c r="W449">
        <v>0</v>
      </c>
      <c r="X449">
        <v>0</v>
      </c>
      <c r="Y449">
        <v>0</v>
      </c>
      <c r="Z449">
        <v>0</v>
      </c>
      <c r="AA449">
        <v>0</v>
      </c>
      <c r="AB449">
        <v>0</v>
      </c>
      <c r="AC449">
        <v>0</v>
      </c>
      <c r="AD449">
        <v>0</v>
      </c>
      <c r="AE449">
        <v>0</v>
      </c>
      <c r="AF449">
        <v>0</v>
      </c>
      <c r="AG449">
        <v>5.87</v>
      </c>
      <c r="AH449">
        <v>0</v>
      </c>
      <c r="AI449">
        <v>0</v>
      </c>
      <c r="AJ449">
        <v>0</v>
      </c>
      <c r="AK449">
        <v>0</v>
      </c>
      <c r="AL449">
        <v>0</v>
      </c>
      <c r="AM449">
        <v>0</v>
      </c>
      <c r="AN449">
        <v>0</v>
      </c>
      <c r="AO449">
        <v>0</v>
      </c>
      <c r="AP449">
        <v>0</v>
      </c>
      <c r="AQ449">
        <v>143.36000000000001</v>
      </c>
      <c r="AR449">
        <v>0</v>
      </c>
      <c r="AS449">
        <v>0</v>
      </c>
      <c r="AT449">
        <v>0</v>
      </c>
      <c r="AU449">
        <v>0</v>
      </c>
      <c r="AV449">
        <v>0</v>
      </c>
      <c r="AW449">
        <v>0</v>
      </c>
      <c r="AX449">
        <v>0</v>
      </c>
      <c r="AY449">
        <v>0</v>
      </c>
      <c r="AZ449">
        <v>0</v>
      </c>
      <c r="BA449">
        <v>0</v>
      </c>
      <c r="BB449">
        <v>0</v>
      </c>
      <c r="BC449">
        <v>0</v>
      </c>
      <c r="BD449">
        <v>0</v>
      </c>
      <c r="BE449">
        <v>0</v>
      </c>
      <c r="BF449">
        <v>0</v>
      </c>
      <c r="BG449">
        <v>0</v>
      </c>
      <c r="BH449">
        <v>2</v>
      </c>
      <c r="BI449">
        <v>13.1</v>
      </c>
      <c r="BJ449">
        <v>39.200000000000003</v>
      </c>
      <c r="BK449">
        <v>40</v>
      </c>
      <c r="BL449">
        <v>451.03</v>
      </c>
      <c r="BM449">
        <v>67.650000000000006</v>
      </c>
      <c r="BN449">
        <v>518.67999999999995</v>
      </c>
      <c r="BO449">
        <v>518.67999999999995</v>
      </c>
      <c r="BQ449" t="s">
        <v>1438</v>
      </c>
      <c r="BR449" t="s">
        <v>84</v>
      </c>
      <c r="BS449" t="s">
        <v>176</v>
      </c>
      <c r="BY449">
        <v>196166.45</v>
      </c>
      <c r="CC449" t="s">
        <v>178</v>
      </c>
      <c r="CD449">
        <v>1050</v>
      </c>
      <c r="CE449" t="s">
        <v>171</v>
      </c>
      <c r="CI449">
        <v>2</v>
      </c>
      <c r="CJ449" t="s">
        <v>176</v>
      </c>
      <c r="CK449">
        <v>43</v>
      </c>
      <c r="CL449" t="s">
        <v>90</v>
      </c>
    </row>
    <row r="450" spans="1:90" x14ac:dyDescent="0.3">
      <c r="A450" t="s">
        <v>72</v>
      </c>
      <c r="B450" t="s">
        <v>73</v>
      </c>
      <c r="C450" t="s">
        <v>74</v>
      </c>
      <c r="E450" t="str">
        <f>"GAB2028064"</f>
        <v>GAB2028064</v>
      </c>
      <c r="F450" s="3">
        <v>45895</v>
      </c>
      <c r="G450">
        <v>202605</v>
      </c>
      <c r="H450" t="s">
        <v>75</v>
      </c>
      <c r="I450" t="s">
        <v>76</v>
      </c>
      <c r="J450" t="s">
        <v>77</v>
      </c>
      <c r="K450" t="s">
        <v>78</v>
      </c>
      <c r="L450" t="s">
        <v>908</v>
      </c>
      <c r="M450" t="s">
        <v>909</v>
      </c>
      <c r="N450" t="s">
        <v>1439</v>
      </c>
      <c r="O450" t="s">
        <v>82</v>
      </c>
      <c r="P450" t="str">
        <f>"INV-00120436 CT096783         "</f>
        <v xml:space="preserve">INV-00120436 CT096783         </v>
      </c>
      <c r="Q450">
        <v>0</v>
      </c>
      <c r="R450">
        <v>0</v>
      </c>
      <c r="S450">
        <v>0</v>
      </c>
      <c r="T450">
        <v>0</v>
      </c>
      <c r="U450">
        <v>0</v>
      </c>
      <c r="V450">
        <v>0</v>
      </c>
      <c r="W450">
        <v>0</v>
      </c>
      <c r="X450">
        <v>0</v>
      </c>
      <c r="Y450">
        <v>0</v>
      </c>
      <c r="Z450">
        <v>0</v>
      </c>
      <c r="AA450">
        <v>0</v>
      </c>
      <c r="AB450">
        <v>0</v>
      </c>
      <c r="AC450">
        <v>0</v>
      </c>
      <c r="AD450">
        <v>0</v>
      </c>
      <c r="AE450">
        <v>0</v>
      </c>
      <c r="AF450">
        <v>0</v>
      </c>
      <c r="AG450">
        <v>5.87</v>
      </c>
      <c r="AH450">
        <v>0</v>
      </c>
      <c r="AI450">
        <v>0</v>
      </c>
      <c r="AJ450">
        <v>0</v>
      </c>
      <c r="AK450">
        <v>0</v>
      </c>
      <c r="AL450">
        <v>0</v>
      </c>
      <c r="AM450">
        <v>0</v>
      </c>
      <c r="AN450">
        <v>0</v>
      </c>
      <c r="AO450">
        <v>0</v>
      </c>
      <c r="AP450">
        <v>0</v>
      </c>
      <c r="AQ450">
        <v>44.64</v>
      </c>
      <c r="AR450">
        <v>0</v>
      </c>
      <c r="AS450">
        <v>0</v>
      </c>
      <c r="AT450">
        <v>0</v>
      </c>
      <c r="AU450">
        <v>0</v>
      </c>
      <c r="AV450">
        <v>0</v>
      </c>
      <c r="AW450">
        <v>0</v>
      </c>
      <c r="AX450">
        <v>0</v>
      </c>
      <c r="AY450">
        <v>0</v>
      </c>
      <c r="AZ450">
        <v>0</v>
      </c>
      <c r="BA450">
        <v>0</v>
      </c>
      <c r="BB450">
        <v>0</v>
      </c>
      <c r="BC450">
        <v>0</v>
      </c>
      <c r="BD450">
        <v>0</v>
      </c>
      <c r="BE450">
        <v>0</v>
      </c>
      <c r="BF450">
        <v>0</v>
      </c>
      <c r="BG450">
        <v>0</v>
      </c>
      <c r="BH450">
        <v>1</v>
      </c>
      <c r="BI450">
        <v>0.4</v>
      </c>
      <c r="BJ450">
        <v>2.4</v>
      </c>
      <c r="BK450">
        <v>3</v>
      </c>
      <c r="BL450">
        <v>144.49</v>
      </c>
      <c r="BM450">
        <v>21.67</v>
      </c>
      <c r="BN450">
        <v>166.16</v>
      </c>
      <c r="BO450">
        <v>166.16</v>
      </c>
      <c r="BQ450" t="s">
        <v>1440</v>
      </c>
      <c r="BR450" t="s">
        <v>84</v>
      </c>
      <c r="BS450" s="3">
        <v>45897</v>
      </c>
      <c r="BT450" s="4">
        <v>0.61736111111111114</v>
      </c>
      <c r="BU450" t="s">
        <v>1441</v>
      </c>
      <c r="BV450" t="s">
        <v>86</v>
      </c>
      <c r="BY450">
        <v>12010.83</v>
      </c>
      <c r="CA450" t="s">
        <v>1157</v>
      </c>
      <c r="CC450" t="s">
        <v>909</v>
      </c>
      <c r="CD450">
        <v>1682</v>
      </c>
      <c r="CE450" t="s">
        <v>640</v>
      </c>
      <c r="CF450" s="3">
        <v>45897</v>
      </c>
      <c r="CI450">
        <v>2</v>
      </c>
      <c r="CJ450">
        <v>2</v>
      </c>
      <c r="CK450">
        <v>41</v>
      </c>
      <c r="CL450" t="s">
        <v>90</v>
      </c>
    </row>
    <row r="451" spans="1:90" x14ac:dyDescent="0.3">
      <c r="A451" t="s">
        <v>72</v>
      </c>
      <c r="B451" t="s">
        <v>73</v>
      </c>
      <c r="C451" t="s">
        <v>74</v>
      </c>
      <c r="E451" t="str">
        <f>"GAB2028054"</f>
        <v>GAB2028054</v>
      </c>
      <c r="F451" s="3">
        <v>45895</v>
      </c>
      <c r="G451">
        <v>202605</v>
      </c>
      <c r="H451" t="s">
        <v>75</v>
      </c>
      <c r="I451" t="s">
        <v>76</v>
      </c>
      <c r="J451" t="s">
        <v>77</v>
      </c>
      <c r="K451" t="s">
        <v>78</v>
      </c>
      <c r="L451" t="s">
        <v>415</v>
      </c>
      <c r="M451" t="s">
        <v>416</v>
      </c>
      <c r="N451" t="s">
        <v>892</v>
      </c>
      <c r="O451" t="s">
        <v>100</v>
      </c>
      <c r="P451" t="str">
        <f>"INV-00120427 CT096812         "</f>
        <v xml:space="preserve">INV-00120427 CT096812         </v>
      </c>
      <c r="Q451">
        <v>0</v>
      </c>
      <c r="R451">
        <v>0</v>
      </c>
      <c r="S451">
        <v>0</v>
      </c>
      <c r="T451">
        <v>0</v>
      </c>
      <c r="U451">
        <v>0</v>
      </c>
      <c r="V451">
        <v>0</v>
      </c>
      <c r="W451">
        <v>0</v>
      </c>
      <c r="X451">
        <v>0</v>
      </c>
      <c r="Y451">
        <v>0</v>
      </c>
      <c r="Z451">
        <v>0</v>
      </c>
      <c r="AA451">
        <v>0</v>
      </c>
      <c r="AB451">
        <v>0</v>
      </c>
      <c r="AC451">
        <v>0</v>
      </c>
      <c r="AD451">
        <v>0</v>
      </c>
      <c r="AE451">
        <v>0</v>
      </c>
      <c r="AF451">
        <v>0</v>
      </c>
      <c r="AG451">
        <v>0</v>
      </c>
      <c r="AH451">
        <v>0</v>
      </c>
      <c r="AI451">
        <v>0</v>
      </c>
      <c r="AJ451">
        <v>0</v>
      </c>
      <c r="AK451">
        <v>0</v>
      </c>
      <c r="AL451">
        <v>0</v>
      </c>
      <c r="AM451">
        <v>0</v>
      </c>
      <c r="AN451">
        <v>0</v>
      </c>
      <c r="AO451">
        <v>0</v>
      </c>
      <c r="AP451">
        <v>0</v>
      </c>
      <c r="AQ451">
        <v>28.85</v>
      </c>
      <c r="AR451">
        <v>0</v>
      </c>
      <c r="AS451">
        <v>0</v>
      </c>
      <c r="AT451">
        <v>0</v>
      </c>
      <c r="AU451">
        <v>0</v>
      </c>
      <c r="AV451">
        <v>0</v>
      </c>
      <c r="AW451">
        <v>16.739999999999998</v>
      </c>
      <c r="AX451">
        <v>0</v>
      </c>
      <c r="AY451">
        <v>0</v>
      </c>
      <c r="AZ451">
        <v>0</v>
      </c>
      <c r="BA451">
        <v>0</v>
      </c>
      <c r="BB451">
        <v>0</v>
      </c>
      <c r="BC451">
        <v>0</v>
      </c>
      <c r="BD451">
        <v>0</v>
      </c>
      <c r="BE451">
        <v>0</v>
      </c>
      <c r="BF451">
        <v>0</v>
      </c>
      <c r="BG451">
        <v>0</v>
      </c>
      <c r="BH451">
        <v>1</v>
      </c>
      <c r="BI451">
        <v>0.3</v>
      </c>
      <c r="BJ451">
        <v>2.4</v>
      </c>
      <c r="BK451">
        <v>2.5</v>
      </c>
      <c r="BL451">
        <v>106.33</v>
      </c>
      <c r="BM451">
        <v>15.95</v>
      </c>
      <c r="BN451">
        <v>122.28</v>
      </c>
      <c r="BO451">
        <v>122.28</v>
      </c>
      <c r="BQ451" t="s">
        <v>893</v>
      </c>
      <c r="BR451" t="s">
        <v>84</v>
      </c>
      <c r="BS451" s="3">
        <v>45896</v>
      </c>
      <c r="BT451" s="4">
        <v>0.37222222222222223</v>
      </c>
      <c r="BU451" t="s">
        <v>1398</v>
      </c>
      <c r="BV451" t="s">
        <v>86</v>
      </c>
      <c r="BY451">
        <v>12043.72</v>
      </c>
      <c r="BZ451" t="s">
        <v>320</v>
      </c>
      <c r="CA451" t="s">
        <v>1399</v>
      </c>
      <c r="CC451" t="s">
        <v>416</v>
      </c>
      <c r="CD451">
        <v>1862</v>
      </c>
      <c r="CE451" t="s">
        <v>109</v>
      </c>
      <c r="CF451" s="3">
        <v>45897</v>
      </c>
      <c r="CI451">
        <v>0</v>
      </c>
      <c r="CJ451">
        <v>0</v>
      </c>
      <c r="CK451">
        <v>21</v>
      </c>
      <c r="CL451" t="s">
        <v>90</v>
      </c>
    </row>
    <row r="452" spans="1:90" x14ac:dyDescent="0.3">
      <c r="A452" t="s">
        <v>72</v>
      </c>
      <c r="B452" t="s">
        <v>73</v>
      </c>
      <c r="C452" t="s">
        <v>74</v>
      </c>
      <c r="E452" t="str">
        <f>"GAB2028055"</f>
        <v>GAB2028055</v>
      </c>
      <c r="F452" s="3">
        <v>45895</v>
      </c>
      <c r="G452">
        <v>202605</v>
      </c>
      <c r="H452" t="s">
        <v>75</v>
      </c>
      <c r="I452" t="s">
        <v>76</v>
      </c>
      <c r="J452" t="s">
        <v>77</v>
      </c>
      <c r="K452" t="s">
        <v>78</v>
      </c>
      <c r="L452" t="s">
        <v>693</v>
      </c>
      <c r="M452" t="s">
        <v>694</v>
      </c>
      <c r="N452" t="s">
        <v>695</v>
      </c>
      <c r="O452" t="s">
        <v>100</v>
      </c>
      <c r="P452" t="str">
        <f>"INV-00120425 CT096816         "</f>
        <v xml:space="preserve">INV-00120425 CT096816         </v>
      </c>
      <c r="Q452">
        <v>0</v>
      </c>
      <c r="R452">
        <v>0</v>
      </c>
      <c r="S452">
        <v>0</v>
      </c>
      <c r="T452">
        <v>0</v>
      </c>
      <c r="U452">
        <v>0</v>
      </c>
      <c r="V452">
        <v>0</v>
      </c>
      <c r="W452">
        <v>0</v>
      </c>
      <c r="X452">
        <v>0</v>
      </c>
      <c r="Y452">
        <v>0</v>
      </c>
      <c r="Z452">
        <v>0</v>
      </c>
      <c r="AA452">
        <v>0</v>
      </c>
      <c r="AB452">
        <v>0</v>
      </c>
      <c r="AC452">
        <v>0</v>
      </c>
      <c r="AD452">
        <v>0</v>
      </c>
      <c r="AE452">
        <v>0</v>
      </c>
      <c r="AF452">
        <v>0</v>
      </c>
      <c r="AG452">
        <v>0</v>
      </c>
      <c r="AH452">
        <v>0</v>
      </c>
      <c r="AI452">
        <v>0</v>
      </c>
      <c r="AJ452">
        <v>0</v>
      </c>
      <c r="AK452">
        <v>0</v>
      </c>
      <c r="AL452">
        <v>0</v>
      </c>
      <c r="AM452">
        <v>0</v>
      </c>
      <c r="AN452">
        <v>0</v>
      </c>
      <c r="AO452">
        <v>0</v>
      </c>
      <c r="AP452">
        <v>0</v>
      </c>
      <c r="AQ452">
        <v>64.92</v>
      </c>
      <c r="AR452">
        <v>0</v>
      </c>
      <c r="AS452">
        <v>0</v>
      </c>
      <c r="AT452">
        <v>0</v>
      </c>
      <c r="AU452">
        <v>0</v>
      </c>
      <c r="AV452">
        <v>0</v>
      </c>
      <c r="AW452">
        <v>0</v>
      </c>
      <c r="AX452">
        <v>0</v>
      </c>
      <c r="AY452">
        <v>0</v>
      </c>
      <c r="AZ452">
        <v>0</v>
      </c>
      <c r="BA452">
        <v>0</v>
      </c>
      <c r="BB452">
        <v>0</v>
      </c>
      <c r="BC452">
        <v>0</v>
      </c>
      <c r="BD452">
        <v>0</v>
      </c>
      <c r="BE452">
        <v>0</v>
      </c>
      <c r="BF452">
        <v>0</v>
      </c>
      <c r="BG452">
        <v>0</v>
      </c>
      <c r="BH452">
        <v>1</v>
      </c>
      <c r="BI452">
        <v>0.5</v>
      </c>
      <c r="BJ452">
        <v>2.8</v>
      </c>
      <c r="BK452">
        <v>3</v>
      </c>
      <c r="BL452">
        <v>201.6</v>
      </c>
      <c r="BM452">
        <v>30.24</v>
      </c>
      <c r="BN452">
        <v>231.84</v>
      </c>
      <c r="BO452">
        <v>231.84</v>
      </c>
      <c r="BQ452" t="s">
        <v>971</v>
      </c>
      <c r="BR452" t="s">
        <v>84</v>
      </c>
      <c r="BS452" s="3">
        <v>45896</v>
      </c>
      <c r="BT452" s="4">
        <v>0.36458333333333331</v>
      </c>
      <c r="BU452" t="s">
        <v>697</v>
      </c>
      <c r="BV452" t="s">
        <v>86</v>
      </c>
      <c r="BY452">
        <v>13818</v>
      </c>
      <c r="BZ452" t="s">
        <v>102</v>
      </c>
      <c r="CA452" t="s">
        <v>698</v>
      </c>
      <c r="CC452" t="s">
        <v>694</v>
      </c>
      <c r="CD452">
        <v>2515</v>
      </c>
      <c r="CE452" t="s">
        <v>544</v>
      </c>
      <c r="CF452" s="3">
        <v>45896</v>
      </c>
      <c r="CI452">
        <v>1</v>
      </c>
      <c r="CJ452">
        <v>1</v>
      </c>
      <c r="CK452">
        <v>23</v>
      </c>
      <c r="CL452" t="s">
        <v>90</v>
      </c>
    </row>
    <row r="453" spans="1:90" x14ac:dyDescent="0.3">
      <c r="A453" t="s">
        <v>72</v>
      </c>
      <c r="B453" t="s">
        <v>73</v>
      </c>
      <c r="C453" t="s">
        <v>74</v>
      </c>
      <c r="E453" t="str">
        <f>"GAB2028057"</f>
        <v>GAB2028057</v>
      </c>
      <c r="F453" s="3">
        <v>45895</v>
      </c>
      <c r="G453">
        <v>202605</v>
      </c>
      <c r="H453" t="s">
        <v>75</v>
      </c>
      <c r="I453" t="s">
        <v>76</v>
      </c>
      <c r="J453" t="s">
        <v>77</v>
      </c>
      <c r="K453" t="s">
        <v>78</v>
      </c>
      <c r="L453" t="s">
        <v>444</v>
      </c>
      <c r="M453" t="s">
        <v>445</v>
      </c>
      <c r="N453" t="s">
        <v>1442</v>
      </c>
      <c r="O453" t="s">
        <v>100</v>
      </c>
      <c r="P453" t="str">
        <f>"INV-0120428 CT096813          "</f>
        <v xml:space="preserve">INV-0120428 CT096813          </v>
      </c>
      <c r="Q453">
        <v>0</v>
      </c>
      <c r="R453">
        <v>0</v>
      </c>
      <c r="S453">
        <v>0</v>
      </c>
      <c r="T453">
        <v>0</v>
      </c>
      <c r="U453">
        <v>0</v>
      </c>
      <c r="V453">
        <v>0</v>
      </c>
      <c r="W453">
        <v>0</v>
      </c>
      <c r="X453">
        <v>0</v>
      </c>
      <c r="Y453">
        <v>0</v>
      </c>
      <c r="Z453">
        <v>0</v>
      </c>
      <c r="AA453">
        <v>0</v>
      </c>
      <c r="AB453">
        <v>0</v>
      </c>
      <c r="AC453">
        <v>0</v>
      </c>
      <c r="AD453">
        <v>0</v>
      </c>
      <c r="AE453">
        <v>0</v>
      </c>
      <c r="AF453">
        <v>0</v>
      </c>
      <c r="AG453">
        <v>0</v>
      </c>
      <c r="AH453">
        <v>0</v>
      </c>
      <c r="AI453">
        <v>0</v>
      </c>
      <c r="AJ453">
        <v>0</v>
      </c>
      <c r="AK453">
        <v>0</v>
      </c>
      <c r="AL453">
        <v>0</v>
      </c>
      <c r="AM453">
        <v>0</v>
      </c>
      <c r="AN453">
        <v>0</v>
      </c>
      <c r="AO453">
        <v>0</v>
      </c>
      <c r="AP453">
        <v>0</v>
      </c>
      <c r="AQ453">
        <v>64.92</v>
      </c>
      <c r="AR453">
        <v>0</v>
      </c>
      <c r="AS453">
        <v>0</v>
      </c>
      <c r="AT453">
        <v>0</v>
      </c>
      <c r="AU453">
        <v>0</v>
      </c>
      <c r="AV453">
        <v>0</v>
      </c>
      <c r="AW453">
        <v>0</v>
      </c>
      <c r="AX453">
        <v>0</v>
      </c>
      <c r="AY453">
        <v>0</v>
      </c>
      <c r="AZ453">
        <v>0</v>
      </c>
      <c r="BA453">
        <v>0</v>
      </c>
      <c r="BB453">
        <v>0</v>
      </c>
      <c r="BC453">
        <v>0</v>
      </c>
      <c r="BD453">
        <v>0</v>
      </c>
      <c r="BE453">
        <v>0</v>
      </c>
      <c r="BF453">
        <v>0</v>
      </c>
      <c r="BG453">
        <v>0</v>
      </c>
      <c r="BH453">
        <v>1</v>
      </c>
      <c r="BI453">
        <v>0.3</v>
      </c>
      <c r="BJ453">
        <v>2.7</v>
      </c>
      <c r="BK453">
        <v>3</v>
      </c>
      <c r="BL453">
        <v>201.6</v>
      </c>
      <c r="BM453">
        <v>30.24</v>
      </c>
      <c r="BN453">
        <v>231.84</v>
      </c>
      <c r="BO453">
        <v>231.84</v>
      </c>
      <c r="BQ453" t="s">
        <v>1412</v>
      </c>
      <c r="BR453" t="s">
        <v>84</v>
      </c>
      <c r="BS453" s="3">
        <v>45896</v>
      </c>
      <c r="BT453" s="4">
        <v>0.43333333333333335</v>
      </c>
      <c r="BU453" t="s">
        <v>1413</v>
      </c>
      <c r="BV453" t="s">
        <v>86</v>
      </c>
      <c r="BY453">
        <v>13513.8</v>
      </c>
      <c r="BZ453" t="s">
        <v>102</v>
      </c>
      <c r="CA453" t="s">
        <v>449</v>
      </c>
      <c r="CC453" t="s">
        <v>445</v>
      </c>
      <c r="CD453" s="5" t="s">
        <v>450</v>
      </c>
      <c r="CE453" t="s">
        <v>104</v>
      </c>
      <c r="CF453" s="3">
        <v>45897</v>
      </c>
      <c r="CI453">
        <v>2</v>
      </c>
      <c r="CJ453">
        <v>1</v>
      </c>
      <c r="CK453">
        <v>23</v>
      </c>
      <c r="CL453" t="s">
        <v>90</v>
      </c>
    </row>
    <row r="454" spans="1:90" x14ac:dyDescent="0.3">
      <c r="A454" t="s">
        <v>72</v>
      </c>
      <c r="B454" t="s">
        <v>73</v>
      </c>
      <c r="C454" t="s">
        <v>74</v>
      </c>
      <c r="E454" t="str">
        <f>"GAB2028060"</f>
        <v>GAB2028060</v>
      </c>
      <c r="F454" s="3">
        <v>45895</v>
      </c>
      <c r="G454">
        <v>202605</v>
      </c>
      <c r="H454" t="s">
        <v>75</v>
      </c>
      <c r="I454" t="s">
        <v>76</v>
      </c>
      <c r="J454" t="s">
        <v>77</v>
      </c>
      <c r="K454" t="s">
        <v>78</v>
      </c>
      <c r="L454" t="s">
        <v>996</v>
      </c>
      <c r="M454" t="s">
        <v>997</v>
      </c>
      <c r="N454" t="s">
        <v>998</v>
      </c>
      <c r="O454" t="s">
        <v>100</v>
      </c>
      <c r="P454" t="str">
        <f>"INV-00120439 CT096820         "</f>
        <v xml:space="preserve">INV-00120439 CT096820         </v>
      </c>
      <c r="Q454">
        <v>0</v>
      </c>
      <c r="R454">
        <v>0</v>
      </c>
      <c r="S454">
        <v>0</v>
      </c>
      <c r="T454">
        <v>0</v>
      </c>
      <c r="U454">
        <v>0</v>
      </c>
      <c r="V454">
        <v>0</v>
      </c>
      <c r="W454">
        <v>0</v>
      </c>
      <c r="X454">
        <v>0</v>
      </c>
      <c r="Y454">
        <v>0</v>
      </c>
      <c r="Z454">
        <v>0</v>
      </c>
      <c r="AA454">
        <v>0</v>
      </c>
      <c r="AB454">
        <v>0</v>
      </c>
      <c r="AC454">
        <v>0</v>
      </c>
      <c r="AD454">
        <v>0</v>
      </c>
      <c r="AE454">
        <v>0</v>
      </c>
      <c r="AF454">
        <v>0</v>
      </c>
      <c r="AG454">
        <v>0</v>
      </c>
      <c r="AH454">
        <v>0</v>
      </c>
      <c r="AI454">
        <v>0</v>
      </c>
      <c r="AJ454">
        <v>0</v>
      </c>
      <c r="AK454">
        <v>0</v>
      </c>
      <c r="AL454">
        <v>0</v>
      </c>
      <c r="AM454">
        <v>0</v>
      </c>
      <c r="AN454">
        <v>0</v>
      </c>
      <c r="AO454">
        <v>0</v>
      </c>
      <c r="AP454">
        <v>0</v>
      </c>
      <c r="AQ454">
        <v>28.85</v>
      </c>
      <c r="AR454">
        <v>0</v>
      </c>
      <c r="AS454">
        <v>0</v>
      </c>
      <c r="AT454">
        <v>0</v>
      </c>
      <c r="AU454">
        <v>0</v>
      </c>
      <c r="AV454">
        <v>0</v>
      </c>
      <c r="AW454">
        <v>0</v>
      </c>
      <c r="AX454">
        <v>0</v>
      </c>
      <c r="AY454">
        <v>0</v>
      </c>
      <c r="AZ454">
        <v>0</v>
      </c>
      <c r="BA454">
        <v>0</v>
      </c>
      <c r="BB454">
        <v>0</v>
      </c>
      <c r="BC454">
        <v>0</v>
      </c>
      <c r="BD454">
        <v>0</v>
      </c>
      <c r="BE454">
        <v>0</v>
      </c>
      <c r="BF454">
        <v>0</v>
      </c>
      <c r="BG454">
        <v>0</v>
      </c>
      <c r="BH454">
        <v>1</v>
      </c>
      <c r="BI454">
        <v>0.2</v>
      </c>
      <c r="BJ454">
        <v>2.4</v>
      </c>
      <c r="BK454">
        <v>2.5</v>
      </c>
      <c r="BL454">
        <v>89.59</v>
      </c>
      <c r="BM454">
        <v>13.44</v>
      </c>
      <c r="BN454">
        <v>103.03</v>
      </c>
      <c r="BO454">
        <v>103.03</v>
      </c>
      <c r="BQ454" t="s">
        <v>999</v>
      </c>
      <c r="BR454" t="s">
        <v>84</v>
      </c>
      <c r="BS454" s="3">
        <v>45897</v>
      </c>
      <c r="BT454" s="4">
        <v>0.40277777777777779</v>
      </c>
      <c r="BU454" t="s">
        <v>1443</v>
      </c>
      <c r="BV454" t="s">
        <v>90</v>
      </c>
      <c r="BW454" t="s">
        <v>589</v>
      </c>
      <c r="BX454" t="s">
        <v>1444</v>
      </c>
      <c r="BY454">
        <v>12064.29</v>
      </c>
      <c r="BZ454" t="s">
        <v>102</v>
      </c>
      <c r="CA454" t="s">
        <v>1445</v>
      </c>
      <c r="CC454" t="s">
        <v>997</v>
      </c>
      <c r="CD454">
        <v>8301</v>
      </c>
      <c r="CE454" t="s">
        <v>116</v>
      </c>
      <c r="CF454" s="3">
        <v>45897</v>
      </c>
      <c r="CI454">
        <v>2</v>
      </c>
      <c r="CJ454">
        <v>2</v>
      </c>
      <c r="CK454">
        <v>21</v>
      </c>
      <c r="CL454" t="s">
        <v>90</v>
      </c>
    </row>
    <row r="455" spans="1:90" x14ac:dyDescent="0.3">
      <c r="A455" t="s">
        <v>72</v>
      </c>
      <c r="B455" t="s">
        <v>73</v>
      </c>
      <c r="C455" t="s">
        <v>74</v>
      </c>
      <c r="E455" t="str">
        <f>"GAB2028061"</f>
        <v>GAB2028061</v>
      </c>
      <c r="F455" s="3">
        <v>45895</v>
      </c>
      <c r="G455">
        <v>202605</v>
      </c>
      <c r="H455" t="s">
        <v>75</v>
      </c>
      <c r="I455" t="s">
        <v>76</v>
      </c>
      <c r="J455" t="s">
        <v>77</v>
      </c>
      <c r="K455" t="s">
        <v>78</v>
      </c>
      <c r="L455" t="s">
        <v>407</v>
      </c>
      <c r="M455" t="s">
        <v>408</v>
      </c>
      <c r="N455" t="s">
        <v>792</v>
      </c>
      <c r="O455" t="s">
        <v>100</v>
      </c>
      <c r="P455" t="str">
        <f>"INV-00120438 CT096821         "</f>
        <v xml:space="preserve">INV-00120438 CT096821         </v>
      </c>
      <c r="Q455">
        <v>0</v>
      </c>
      <c r="R455">
        <v>0</v>
      </c>
      <c r="S455">
        <v>0</v>
      </c>
      <c r="T455">
        <v>0</v>
      </c>
      <c r="U455">
        <v>0</v>
      </c>
      <c r="V455">
        <v>0</v>
      </c>
      <c r="W455">
        <v>0</v>
      </c>
      <c r="X455">
        <v>0</v>
      </c>
      <c r="Y455">
        <v>0</v>
      </c>
      <c r="Z455">
        <v>0</v>
      </c>
      <c r="AA455">
        <v>0</v>
      </c>
      <c r="AB455">
        <v>0</v>
      </c>
      <c r="AC455">
        <v>0</v>
      </c>
      <c r="AD455">
        <v>0</v>
      </c>
      <c r="AE455">
        <v>0</v>
      </c>
      <c r="AF455">
        <v>0</v>
      </c>
      <c r="AG455">
        <v>0</v>
      </c>
      <c r="AH455">
        <v>0</v>
      </c>
      <c r="AI455">
        <v>0</v>
      </c>
      <c r="AJ455">
        <v>0</v>
      </c>
      <c r="AK455">
        <v>0</v>
      </c>
      <c r="AL455">
        <v>0</v>
      </c>
      <c r="AM455">
        <v>0</v>
      </c>
      <c r="AN455">
        <v>0</v>
      </c>
      <c r="AO455">
        <v>0</v>
      </c>
      <c r="AP455">
        <v>0</v>
      </c>
      <c r="AQ455">
        <v>64.92</v>
      </c>
      <c r="AR455">
        <v>0</v>
      </c>
      <c r="AS455">
        <v>0</v>
      </c>
      <c r="AT455">
        <v>0</v>
      </c>
      <c r="AU455">
        <v>0</v>
      </c>
      <c r="AV455">
        <v>0</v>
      </c>
      <c r="AW455">
        <v>0</v>
      </c>
      <c r="AX455">
        <v>0</v>
      </c>
      <c r="AY455">
        <v>0</v>
      </c>
      <c r="AZ455">
        <v>0</v>
      </c>
      <c r="BA455">
        <v>0</v>
      </c>
      <c r="BB455">
        <v>0</v>
      </c>
      <c r="BC455">
        <v>0</v>
      </c>
      <c r="BD455">
        <v>0</v>
      </c>
      <c r="BE455">
        <v>0</v>
      </c>
      <c r="BF455">
        <v>0</v>
      </c>
      <c r="BG455">
        <v>0</v>
      </c>
      <c r="BH455">
        <v>1</v>
      </c>
      <c r="BI455">
        <v>0.4</v>
      </c>
      <c r="BJ455">
        <v>2.6</v>
      </c>
      <c r="BK455">
        <v>3</v>
      </c>
      <c r="BL455">
        <v>201.6</v>
      </c>
      <c r="BM455">
        <v>30.24</v>
      </c>
      <c r="BN455">
        <v>231.84</v>
      </c>
      <c r="BO455">
        <v>231.84</v>
      </c>
      <c r="BQ455" t="s">
        <v>1148</v>
      </c>
      <c r="BR455" t="s">
        <v>84</v>
      </c>
      <c r="BS455" s="3">
        <v>45897</v>
      </c>
      <c r="BT455" s="4">
        <v>0.67777777777777781</v>
      </c>
      <c r="BU455" t="s">
        <v>1446</v>
      </c>
      <c r="BV455" t="s">
        <v>90</v>
      </c>
      <c r="BW455" t="s">
        <v>294</v>
      </c>
      <c r="BX455" t="s">
        <v>1447</v>
      </c>
      <c r="BY455">
        <v>13056</v>
      </c>
      <c r="BZ455" t="s">
        <v>102</v>
      </c>
      <c r="CA455" t="s">
        <v>795</v>
      </c>
      <c r="CC455" t="s">
        <v>408</v>
      </c>
      <c r="CD455">
        <v>4400</v>
      </c>
      <c r="CE455" t="s">
        <v>104</v>
      </c>
      <c r="CF455" s="3">
        <v>45897</v>
      </c>
      <c r="CI455">
        <v>2</v>
      </c>
      <c r="CJ455">
        <v>2</v>
      </c>
      <c r="CK455">
        <v>23</v>
      </c>
      <c r="CL455" t="s">
        <v>90</v>
      </c>
    </row>
    <row r="456" spans="1:90" x14ac:dyDescent="0.3">
      <c r="A456" t="s">
        <v>72</v>
      </c>
      <c r="B456" t="s">
        <v>73</v>
      </c>
      <c r="C456" t="s">
        <v>74</v>
      </c>
      <c r="E456" t="str">
        <f>"GAB2028063"</f>
        <v>GAB2028063</v>
      </c>
      <c r="F456" s="3">
        <v>45895</v>
      </c>
      <c r="G456">
        <v>202605</v>
      </c>
      <c r="H456" t="s">
        <v>75</v>
      </c>
      <c r="I456" t="s">
        <v>76</v>
      </c>
      <c r="J456" t="s">
        <v>77</v>
      </c>
      <c r="K456" t="s">
        <v>78</v>
      </c>
      <c r="L456" t="s">
        <v>1448</v>
      </c>
      <c r="M456" t="s">
        <v>1449</v>
      </c>
      <c r="N456" t="s">
        <v>1450</v>
      </c>
      <c r="O456" t="s">
        <v>100</v>
      </c>
      <c r="P456" t="str">
        <f>"INV-00038841 035818           "</f>
        <v xml:space="preserve">INV-00038841 035818           </v>
      </c>
      <c r="Q456">
        <v>0</v>
      </c>
      <c r="R456">
        <v>0</v>
      </c>
      <c r="S456">
        <v>0</v>
      </c>
      <c r="T456">
        <v>0</v>
      </c>
      <c r="U456">
        <v>0</v>
      </c>
      <c r="V456">
        <v>0</v>
      </c>
      <c r="W456">
        <v>0</v>
      </c>
      <c r="X456">
        <v>0</v>
      </c>
      <c r="Y456">
        <v>0</v>
      </c>
      <c r="Z456">
        <v>0</v>
      </c>
      <c r="AA456">
        <v>0</v>
      </c>
      <c r="AB456">
        <v>0</v>
      </c>
      <c r="AC456">
        <v>0</v>
      </c>
      <c r="AD456">
        <v>0</v>
      </c>
      <c r="AE456">
        <v>0</v>
      </c>
      <c r="AF456">
        <v>0</v>
      </c>
      <c r="AG456">
        <v>0</v>
      </c>
      <c r="AH456">
        <v>0</v>
      </c>
      <c r="AI456">
        <v>0</v>
      </c>
      <c r="AJ456">
        <v>0</v>
      </c>
      <c r="AK456">
        <v>0</v>
      </c>
      <c r="AL456">
        <v>0</v>
      </c>
      <c r="AM456">
        <v>0</v>
      </c>
      <c r="AN456">
        <v>0</v>
      </c>
      <c r="AO456">
        <v>0</v>
      </c>
      <c r="AP456">
        <v>0</v>
      </c>
      <c r="AQ456">
        <v>54.82</v>
      </c>
      <c r="AR456">
        <v>0</v>
      </c>
      <c r="AS456">
        <v>0</v>
      </c>
      <c r="AT456">
        <v>0</v>
      </c>
      <c r="AU456">
        <v>0</v>
      </c>
      <c r="AV456">
        <v>0</v>
      </c>
      <c r="AW456">
        <v>0</v>
      </c>
      <c r="AX456">
        <v>0</v>
      </c>
      <c r="AY456">
        <v>0</v>
      </c>
      <c r="AZ456">
        <v>0</v>
      </c>
      <c r="BA456">
        <v>0</v>
      </c>
      <c r="BB456">
        <v>0</v>
      </c>
      <c r="BC456">
        <v>0</v>
      </c>
      <c r="BD456">
        <v>0</v>
      </c>
      <c r="BE456">
        <v>0</v>
      </c>
      <c r="BF456">
        <v>0</v>
      </c>
      <c r="BG456">
        <v>0</v>
      </c>
      <c r="BH456">
        <v>1</v>
      </c>
      <c r="BI456">
        <v>0.1</v>
      </c>
      <c r="BJ456">
        <v>2.2000000000000002</v>
      </c>
      <c r="BK456">
        <v>2.5</v>
      </c>
      <c r="BL456">
        <v>170.24</v>
      </c>
      <c r="BM456">
        <v>25.54</v>
      </c>
      <c r="BN456">
        <v>195.78</v>
      </c>
      <c r="BO456">
        <v>195.78</v>
      </c>
      <c r="BQ456" t="s">
        <v>1451</v>
      </c>
      <c r="BR456" t="s">
        <v>84</v>
      </c>
      <c r="BS456" s="3">
        <v>45896</v>
      </c>
      <c r="BT456" s="4">
        <v>0.375</v>
      </c>
      <c r="BU456" t="s">
        <v>1452</v>
      </c>
      <c r="BV456" t="s">
        <v>86</v>
      </c>
      <c r="BY456">
        <v>11054.87</v>
      </c>
      <c r="BZ456" t="s">
        <v>102</v>
      </c>
      <c r="CA456" t="s">
        <v>1453</v>
      </c>
      <c r="CC456" t="s">
        <v>1449</v>
      </c>
      <c r="CD456">
        <v>1438</v>
      </c>
      <c r="CE456" t="s">
        <v>116</v>
      </c>
      <c r="CF456" s="3">
        <v>45896</v>
      </c>
      <c r="CI456">
        <v>1</v>
      </c>
      <c r="CJ456">
        <v>1</v>
      </c>
      <c r="CK456">
        <v>23</v>
      </c>
      <c r="CL456" t="s">
        <v>90</v>
      </c>
    </row>
    <row r="457" spans="1:90" x14ac:dyDescent="0.3">
      <c r="A457" t="s">
        <v>72</v>
      </c>
      <c r="B457" t="s">
        <v>73</v>
      </c>
      <c r="C457" t="s">
        <v>74</v>
      </c>
      <c r="E457" t="str">
        <f>"GAB2028065"</f>
        <v>GAB2028065</v>
      </c>
      <c r="F457" s="3">
        <v>45895</v>
      </c>
      <c r="G457">
        <v>202605</v>
      </c>
      <c r="H457" t="s">
        <v>75</v>
      </c>
      <c r="I457" t="s">
        <v>76</v>
      </c>
      <c r="J457" t="s">
        <v>77</v>
      </c>
      <c r="K457" t="s">
        <v>78</v>
      </c>
      <c r="L457" t="s">
        <v>177</v>
      </c>
      <c r="M457" t="s">
        <v>178</v>
      </c>
      <c r="N457" t="s">
        <v>477</v>
      </c>
      <c r="O457" t="s">
        <v>100</v>
      </c>
      <c r="P457" t="str">
        <f>"INV-00120444 CT096832         "</f>
        <v xml:space="preserve">INV-00120444 CT096832         </v>
      </c>
      <c r="Q457">
        <v>0</v>
      </c>
      <c r="R457">
        <v>0</v>
      </c>
      <c r="S457">
        <v>0</v>
      </c>
      <c r="T457">
        <v>0</v>
      </c>
      <c r="U457">
        <v>0</v>
      </c>
      <c r="V457">
        <v>0</v>
      </c>
      <c r="W457">
        <v>0</v>
      </c>
      <c r="X457">
        <v>0</v>
      </c>
      <c r="Y457">
        <v>0</v>
      </c>
      <c r="Z457">
        <v>0</v>
      </c>
      <c r="AA457">
        <v>0</v>
      </c>
      <c r="AB457">
        <v>0</v>
      </c>
      <c r="AC457">
        <v>0</v>
      </c>
      <c r="AD457">
        <v>0</v>
      </c>
      <c r="AE457">
        <v>0</v>
      </c>
      <c r="AF457">
        <v>0</v>
      </c>
      <c r="AG457">
        <v>0</v>
      </c>
      <c r="AH457">
        <v>0</v>
      </c>
      <c r="AI457">
        <v>0</v>
      </c>
      <c r="AJ457">
        <v>0</v>
      </c>
      <c r="AK457">
        <v>0</v>
      </c>
      <c r="AL457">
        <v>0</v>
      </c>
      <c r="AM457">
        <v>0</v>
      </c>
      <c r="AN457">
        <v>0</v>
      </c>
      <c r="AO457">
        <v>0</v>
      </c>
      <c r="AP457">
        <v>0</v>
      </c>
      <c r="AQ457">
        <v>54.82</v>
      </c>
      <c r="AR457">
        <v>0</v>
      </c>
      <c r="AS457">
        <v>0</v>
      </c>
      <c r="AT457">
        <v>0</v>
      </c>
      <c r="AU457">
        <v>0</v>
      </c>
      <c r="AV457">
        <v>0</v>
      </c>
      <c r="AW457">
        <v>0</v>
      </c>
      <c r="AX457">
        <v>0</v>
      </c>
      <c r="AY457">
        <v>0</v>
      </c>
      <c r="AZ457">
        <v>0</v>
      </c>
      <c r="BA457">
        <v>0</v>
      </c>
      <c r="BB457">
        <v>0</v>
      </c>
      <c r="BC457">
        <v>0</v>
      </c>
      <c r="BD457">
        <v>0</v>
      </c>
      <c r="BE457">
        <v>0</v>
      </c>
      <c r="BF457">
        <v>0</v>
      </c>
      <c r="BG457">
        <v>0</v>
      </c>
      <c r="BH457">
        <v>1</v>
      </c>
      <c r="BI457">
        <v>0.2</v>
      </c>
      <c r="BJ457">
        <v>2.5</v>
      </c>
      <c r="BK457">
        <v>2.5</v>
      </c>
      <c r="BL457">
        <v>170.24</v>
      </c>
      <c r="BM457">
        <v>25.54</v>
      </c>
      <c r="BN457">
        <v>195.78</v>
      </c>
      <c r="BO457">
        <v>195.78</v>
      </c>
      <c r="BQ457" t="s">
        <v>1454</v>
      </c>
      <c r="BR457" t="s">
        <v>84</v>
      </c>
      <c r="BS457" s="3">
        <v>45896</v>
      </c>
      <c r="BT457" s="4">
        <v>0.43680555555555556</v>
      </c>
      <c r="BU457" t="s">
        <v>1455</v>
      </c>
      <c r="BV457" t="s">
        <v>86</v>
      </c>
      <c r="BY457">
        <v>12365.44</v>
      </c>
      <c r="BZ457" t="s">
        <v>102</v>
      </c>
      <c r="CA457" t="s">
        <v>565</v>
      </c>
      <c r="CC457" t="s">
        <v>178</v>
      </c>
      <c r="CD457">
        <v>1039</v>
      </c>
      <c r="CE457" t="s">
        <v>143</v>
      </c>
      <c r="CF457" s="3">
        <v>45897</v>
      </c>
      <c r="CI457">
        <v>1</v>
      </c>
      <c r="CJ457">
        <v>1</v>
      </c>
      <c r="CK457">
        <v>23</v>
      </c>
      <c r="CL457" t="s">
        <v>90</v>
      </c>
    </row>
    <row r="458" spans="1:90" x14ac:dyDescent="0.3">
      <c r="A458" t="s">
        <v>72</v>
      </c>
      <c r="B458" t="s">
        <v>73</v>
      </c>
      <c r="C458" t="s">
        <v>74</v>
      </c>
      <c r="E458" t="str">
        <f>"GAB2028066"</f>
        <v>GAB2028066</v>
      </c>
      <c r="F458" s="3">
        <v>45895</v>
      </c>
      <c r="G458">
        <v>202605</v>
      </c>
      <c r="H458" t="s">
        <v>75</v>
      </c>
      <c r="I458" t="s">
        <v>76</v>
      </c>
      <c r="J458" t="s">
        <v>77</v>
      </c>
      <c r="K458" t="s">
        <v>78</v>
      </c>
      <c r="L458" t="s">
        <v>415</v>
      </c>
      <c r="M458" t="s">
        <v>416</v>
      </c>
      <c r="N458" t="s">
        <v>902</v>
      </c>
      <c r="O458" t="s">
        <v>100</v>
      </c>
      <c r="P458" t="str">
        <f>"INV-00120443 CT096823         "</f>
        <v xml:space="preserve">INV-00120443 CT096823         </v>
      </c>
      <c r="Q458">
        <v>0</v>
      </c>
      <c r="R458">
        <v>0</v>
      </c>
      <c r="S458">
        <v>0</v>
      </c>
      <c r="T458">
        <v>0</v>
      </c>
      <c r="U458">
        <v>0</v>
      </c>
      <c r="V458">
        <v>0</v>
      </c>
      <c r="W458">
        <v>0</v>
      </c>
      <c r="X458">
        <v>0</v>
      </c>
      <c r="Y458">
        <v>0</v>
      </c>
      <c r="Z458">
        <v>0</v>
      </c>
      <c r="AA458">
        <v>0</v>
      </c>
      <c r="AB458">
        <v>0</v>
      </c>
      <c r="AC458">
        <v>0</v>
      </c>
      <c r="AD458">
        <v>0</v>
      </c>
      <c r="AE458">
        <v>0</v>
      </c>
      <c r="AF458">
        <v>0</v>
      </c>
      <c r="AG458">
        <v>0</v>
      </c>
      <c r="AH458">
        <v>0</v>
      </c>
      <c r="AI458">
        <v>0</v>
      </c>
      <c r="AJ458">
        <v>0</v>
      </c>
      <c r="AK458">
        <v>0</v>
      </c>
      <c r="AL458">
        <v>0</v>
      </c>
      <c r="AM458">
        <v>0</v>
      </c>
      <c r="AN458">
        <v>0</v>
      </c>
      <c r="AO458">
        <v>0</v>
      </c>
      <c r="AP458">
        <v>0</v>
      </c>
      <c r="AQ458">
        <v>28.85</v>
      </c>
      <c r="AR458">
        <v>0</v>
      </c>
      <c r="AS458">
        <v>0</v>
      </c>
      <c r="AT458">
        <v>0</v>
      </c>
      <c r="AU458">
        <v>0</v>
      </c>
      <c r="AV458">
        <v>0</v>
      </c>
      <c r="AW458">
        <v>0</v>
      </c>
      <c r="AX458">
        <v>0</v>
      </c>
      <c r="AY458">
        <v>0</v>
      </c>
      <c r="AZ458">
        <v>0</v>
      </c>
      <c r="BA458">
        <v>0</v>
      </c>
      <c r="BB458">
        <v>0</v>
      </c>
      <c r="BC458">
        <v>0</v>
      </c>
      <c r="BD458">
        <v>0</v>
      </c>
      <c r="BE458">
        <v>0</v>
      </c>
      <c r="BF458">
        <v>0</v>
      </c>
      <c r="BG458">
        <v>0</v>
      </c>
      <c r="BH458">
        <v>1</v>
      </c>
      <c r="BI458">
        <v>0.1</v>
      </c>
      <c r="BJ458">
        <v>2.5</v>
      </c>
      <c r="BK458">
        <v>2.5</v>
      </c>
      <c r="BL458">
        <v>89.59</v>
      </c>
      <c r="BM458">
        <v>13.44</v>
      </c>
      <c r="BN458">
        <v>103.03</v>
      </c>
      <c r="BO458">
        <v>103.03</v>
      </c>
      <c r="BQ458" t="s">
        <v>903</v>
      </c>
      <c r="BR458" t="s">
        <v>84</v>
      </c>
      <c r="BS458" s="3">
        <v>45896</v>
      </c>
      <c r="BT458" s="4">
        <v>0.33750000000000002</v>
      </c>
      <c r="BU458" t="s">
        <v>1456</v>
      </c>
      <c r="BV458" t="s">
        <v>86</v>
      </c>
      <c r="BY458">
        <v>12270.96</v>
      </c>
      <c r="BZ458" t="s">
        <v>102</v>
      </c>
      <c r="CA458" t="s">
        <v>1457</v>
      </c>
      <c r="CC458" t="s">
        <v>416</v>
      </c>
      <c r="CD458">
        <v>2196</v>
      </c>
      <c r="CE458" t="s">
        <v>116</v>
      </c>
      <c r="CF458" s="3">
        <v>45896</v>
      </c>
      <c r="CI458">
        <v>1</v>
      </c>
      <c r="CJ458">
        <v>1</v>
      </c>
      <c r="CK458">
        <v>21</v>
      </c>
      <c r="CL458" t="s">
        <v>90</v>
      </c>
    </row>
    <row r="459" spans="1:90" x14ac:dyDescent="0.3">
      <c r="A459" t="s">
        <v>72</v>
      </c>
      <c r="B459" t="s">
        <v>73</v>
      </c>
      <c r="C459" t="s">
        <v>74</v>
      </c>
      <c r="E459" t="str">
        <f>"GAB2028067"</f>
        <v>GAB2028067</v>
      </c>
      <c r="F459" s="3">
        <v>45895</v>
      </c>
      <c r="G459">
        <v>202605</v>
      </c>
      <c r="H459" t="s">
        <v>75</v>
      </c>
      <c r="I459" t="s">
        <v>76</v>
      </c>
      <c r="J459" t="s">
        <v>77</v>
      </c>
      <c r="K459" t="s">
        <v>78</v>
      </c>
      <c r="L459" t="s">
        <v>75</v>
      </c>
      <c r="M459" t="s">
        <v>76</v>
      </c>
      <c r="N459" t="s">
        <v>1458</v>
      </c>
      <c r="O459" t="s">
        <v>100</v>
      </c>
      <c r="P459" t="str">
        <f>"INV-00120442 CT096825         "</f>
        <v xml:space="preserve">INV-00120442 CT096825         </v>
      </c>
      <c r="Q459">
        <v>0</v>
      </c>
      <c r="R459">
        <v>0</v>
      </c>
      <c r="S459">
        <v>0</v>
      </c>
      <c r="T459">
        <v>0</v>
      </c>
      <c r="U459">
        <v>0</v>
      </c>
      <c r="V459">
        <v>0</v>
      </c>
      <c r="W459">
        <v>0</v>
      </c>
      <c r="X459">
        <v>0</v>
      </c>
      <c r="Y459">
        <v>0</v>
      </c>
      <c r="Z459">
        <v>0</v>
      </c>
      <c r="AA459">
        <v>0</v>
      </c>
      <c r="AB459">
        <v>0</v>
      </c>
      <c r="AC459">
        <v>0</v>
      </c>
      <c r="AD459">
        <v>0</v>
      </c>
      <c r="AE459">
        <v>0</v>
      </c>
      <c r="AF459">
        <v>0</v>
      </c>
      <c r="AG459">
        <v>0</v>
      </c>
      <c r="AH459">
        <v>0</v>
      </c>
      <c r="AI459">
        <v>0</v>
      </c>
      <c r="AJ459">
        <v>0</v>
      </c>
      <c r="AK459">
        <v>0</v>
      </c>
      <c r="AL459">
        <v>0</v>
      </c>
      <c r="AM459">
        <v>0</v>
      </c>
      <c r="AN459">
        <v>0</v>
      </c>
      <c r="AO459">
        <v>0</v>
      </c>
      <c r="AP459">
        <v>0</v>
      </c>
      <c r="AQ459">
        <v>18.03</v>
      </c>
      <c r="AR459">
        <v>0</v>
      </c>
      <c r="AS459">
        <v>0</v>
      </c>
      <c r="AT459">
        <v>0</v>
      </c>
      <c r="AU459">
        <v>0</v>
      </c>
      <c r="AV459">
        <v>0</v>
      </c>
      <c r="AW459">
        <v>0</v>
      </c>
      <c r="AX459">
        <v>0</v>
      </c>
      <c r="AY459">
        <v>0</v>
      </c>
      <c r="AZ459">
        <v>0</v>
      </c>
      <c r="BA459">
        <v>0</v>
      </c>
      <c r="BB459">
        <v>0</v>
      </c>
      <c r="BC459">
        <v>0</v>
      </c>
      <c r="BD459">
        <v>0</v>
      </c>
      <c r="BE459">
        <v>0</v>
      </c>
      <c r="BF459">
        <v>0</v>
      </c>
      <c r="BG459">
        <v>0</v>
      </c>
      <c r="BH459">
        <v>1</v>
      </c>
      <c r="BI459">
        <v>0.4</v>
      </c>
      <c r="BJ459">
        <v>2.6</v>
      </c>
      <c r="BK459">
        <v>3</v>
      </c>
      <c r="BL459">
        <v>55.99</v>
      </c>
      <c r="BM459">
        <v>8.4</v>
      </c>
      <c r="BN459">
        <v>64.39</v>
      </c>
      <c r="BO459">
        <v>64.39</v>
      </c>
      <c r="BQ459" t="s">
        <v>1459</v>
      </c>
      <c r="BR459" t="s">
        <v>84</v>
      </c>
      <c r="BS459" s="3">
        <v>45896</v>
      </c>
      <c r="BT459" s="4">
        <v>0.39861111111111114</v>
      </c>
      <c r="BU459" t="s">
        <v>599</v>
      </c>
      <c r="BV459" t="s">
        <v>86</v>
      </c>
      <c r="BY459">
        <v>12781.3</v>
      </c>
      <c r="BZ459" t="s">
        <v>102</v>
      </c>
      <c r="CA459" t="s">
        <v>343</v>
      </c>
      <c r="CC459" t="s">
        <v>76</v>
      </c>
      <c r="CD459">
        <v>7441</v>
      </c>
      <c r="CE459" t="s">
        <v>471</v>
      </c>
      <c r="CF459" s="3">
        <v>45897</v>
      </c>
      <c r="CI459">
        <v>1</v>
      </c>
      <c r="CJ459">
        <v>1</v>
      </c>
      <c r="CK459">
        <v>22</v>
      </c>
      <c r="CL459" t="s">
        <v>90</v>
      </c>
    </row>
    <row r="460" spans="1:90" x14ac:dyDescent="0.3">
      <c r="A460" t="s">
        <v>72</v>
      </c>
      <c r="B460" t="s">
        <v>73</v>
      </c>
      <c r="C460" t="s">
        <v>74</v>
      </c>
      <c r="E460" t="str">
        <f>"GAB2028068"</f>
        <v>GAB2028068</v>
      </c>
      <c r="F460" s="3">
        <v>45895</v>
      </c>
      <c r="G460">
        <v>202605</v>
      </c>
      <c r="H460" t="s">
        <v>75</v>
      </c>
      <c r="I460" t="s">
        <v>76</v>
      </c>
      <c r="J460" t="s">
        <v>77</v>
      </c>
      <c r="K460" t="s">
        <v>78</v>
      </c>
      <c r="L460" t="s">
        <v>165</v>
      </c>
      <c r="M460" t="s">
        <v>166</v>
      </c>
      <c r="N460" t="s">
        <v>805</v>
      </c>
      <c r="O460" t="s">
        <v>100</v>
      </c>
      <c r="P460" t="str">
        <f>"INV-00120448 CT096834         "</f>
        <v xml:space="preserve">INV-00120448 CT096834         </v>
      </c>
      <c r="Q460">
        <v>0</v>
      </c>
      <c r="R460">
        <v>0</v>
      </c>
      <c r="S460">
        <v>0</v>
      </c>
      <c r="T460">
        <v>0</v>
      </c>
      <c r="U460">
        <v>0</v>
      </c>
      <c r="V460">
        <v>0</v>
      </c>
      <c r="W460">
        <v>0</v>
      </c>
      <c r="X460">
        <v>0</v>
      </c>
      <c r="Y460">
        <v>0</v>
      </c>
      <c r="Z460">
        <v>0</v>
      </c>
      <c r="AA460">
        <v>0</v>
      </c>
      <c r="AB460">
        <v>0</v>
      </c>
      <c r="AC460">
        <v>0</v>
      </c>
      <c r="AD460">
        <v>0</v>
      </c>
      <c r="AE460">
        <v>0</v>
      </c>
      <c r="AF460">
        <v>0</v>
      </c>
      <c r="AG460">
        <v>0</v>
      </c>
      <c r="AH460">
        <v>0</v>
      </c>
      <c r="AI460">
        <v>0</v>
      </c>
      <c r="AJ460">
        <v>0</v>
      </c>
      <c r="AK460">
        <v>0</v>
      </c>
      <c r="AL460">
        <v>0</v>
      </c>
      <c r="AM460">
        <v>0</v>
      </c>
      <c r="AN460">
        <v>0</v>
      </c>
      <c r="AO460">
        <v>0</v>
      </c>
      <c r="AP460">
        <v>0</v>
      </c>
      <c r="AQ460">
        <v>54.82</v>
      </c>
      <c r="AR460">
        <v>0</v>
      </c>
      <c r="AS460">
        <v>0</v>
      </c>
      <c r="AT460">
        <v>0</v>
      </c>
      <c r="AU460">
        <v>0</v>
      </c>
      <c r="AV460">
        <v>0</v>
      </c>
      <c r="AW460">
        <v>16.739999999999998</v>
      </c>
      <c r="AX460">
        <v>0</v>
      </c>
      <c r="AY460">
        <v>0</v>
      </c>
      <c r="AZ460">
        <v>0</v>
      </c>
      <c r="BA460">
        <v>0</v>
      </c>
      <c r="BB460">
        <v>0</v>
      </c>
      <c r="BC460">
        <v>0</v>
      </c>
      <c r="BD460">
        <v>0</v>
      </c>
      <c r="BE460">
        <v>0</v>
      </c>
      <c r="BF460">
        <v>0</v>
      </c>
      <c r="BG460">
        <v>0</v>
      </c>
      <c r="BH460">
        <v>1</v>
      </c>
      <c r="BI460">
        <v>0.2</v>
      </c>
      <c r="BJ460">
        <v>2.4</v>
      </c>
      <c r="BK460">
        <v>2.5</v>
      </c>
      <c r="BL460">
        <v>186.98</v>
      </c>
      <c r="BM460">
        <v>28.05</v>
      </c>
      <c r="BN460">
        <v>215.03</v>
      </c>
      <c r="BO460">
        <v>215.03</v>
      </c>
      <c r="BQ460" t="s">
        <v>1421</v>
      </c>
      <c r="BR460" t="s">
        <v>84</v>
      </c>
      <c r="BS460" s="3">
        <v>45896</v>
      </c>
      <c r="BT460" s="4">
        <v>0.41666666666666669</v>
      </c>
      <c r="BU460" t="s">
        <v>1422</v>
      </c>
      <c r="BV460" t="s">
        <v>86</v>
      </c>
      <c r="BY460">
        <v>12198.48</v>
      </c>
      <c r="BZ460" t="s">
        <v>320</v>
      </c>
      <c r="CC460" t="s">
        <v>166</v>
      </c>
      <c r="CD460">
        <v>2745</v>
      </c>
      <c r="CE460" t="s">
        <v>109</v>
      </c>
      <c r="CF460" s="3">
        <v>45897</v>
      </c>
      <c r="CI460">
        <v>2</v>
      </c>
      <c r="CJ460">
        <v>1</v>
      </c>
      <c r="CK460">
        <v>23</v>
      </c>
      <c r="CL460" t="s">
        <v>90</v>
      </c>
    </row>
    <row r="461" spans="1:90" x14ac:dyDescent="0.3">
      <c r="A461" t="s">
        <v>72</v>
      </c>
      <c r="B461" t="s">
        <v>73</v>
      </c>
      <c r="C461" t="s">
        <v>74</v>
      </c>
      <c r="E461" t="str">
        <f>"GAB2028069"</f>
        <v>GAB2028069</v>
      </c>
      <c r="F461" s="3">
        <v>45895</v>
      </c>
      <c r="G461">
        <v>202605</v>
      </c>
      <c r="H461" t="s">
        <v>75</v>
      </c>
      <c r="I461" t="s">
        <v>76</v>
      </c>
      <c r="J461" t="s">
        <v>77</v>
      </c>
      <c r="K461" t="s">
        <v>78</v>
      </c>
      <c r="L461" t="s">
        <v>415</v>
      </c>
      <c r="M461" t="s">
        <v>416</v>
      </c>
      <c r="N461" t="s">
        <v>991</v>
      </c>
      <c r="O461" t="s">
        <v>100</v>
      </c>
      <c r="P461" t="str">
        <f>"INV-00120447 CT096824         "</f>
        <v xml:space="preserve">INV-00120447 CT096824         </v>
      </c>
      <c r="Q461">
        <v>0</v>
      </c>
      <c r="R461">
        <v>0</v>
      </c>
      <c r="S461">
        <v>0</v>
      </c>
      <c r="T461">
        <v>0</v>
      </c>
      <c r="U461">
        <v>0</v>
      </c>
      <c r="V461">
        <v>0</v>
      </c>
      <c r="W461">
        <v>0</v>
      </c>
      <c r="X461">
        <v>0</v>
      </c>
      <c r="Y461">
        <v>0</v>
      </c>
      <c r="Z461">
        <v>0</v>
      </c>
      <c r="AA461">
        <v>0</v>
      </c>
      <c r="AB461">
        <v>0</v>
      </c>
      <c r="AC461">
        <v>0</v>
      </c>
      <c r="AD461">
        <v>0</v>
      </c>
      <c r="AE461">
        <v>0</v>
      </c>
      <c r="AF461">
        <v>0</v>
      </c>
      <c r="AG461">
        <v>0</v>
      </c>
      <c r="AH461">
        <v>0</v>
      </c>
      <c r="AI461">
        <v>0</v>
      </c>
      <c r="AJ461">
        <v>0</v>
      </c>
      <c r="AK461">
        <v>0</v>
      </c>
      <c r="AL461">
        <v>0</v>
      </c>
      <c r="AM461">
        <v>0</v>
      </c>
      <c r="AN461">
        <v>0</v>
      </c>
      <c r="AO461">
        <v>0</v>
      </c>
      <c r="AP461">
        <v>0</v>
      </c>
      <c r="AQ461">
        <v>28.85</v>
      </c>
      <c r="AR461">
        <v>0</v>
      </c>
      <c r="AS461">
        <v>0</v>
      </c>
      <c r="AT461">
        <v>0</v>
      </c>
      <c r="AU461">
        <v>0</v>
      </c>
      <c r="AV461">
        <v>0</v>
      </c>
      <c r="AW461">
        <v>0</v>
      </c>
      <c r="AX461">
        <v>0</v>
      </c>
      <c r="AY461">
        <v>0</v>
      </c>
      <c r="AZ461">
        <v>0</v>
      </c>
      <c r="BA461">
        <v>0</v>
      </c>
      <c r="BB461">
        <v>0</v>
      </c>
      <c r="BC461">
        <v>0</v>
      </c>
      <c r="BD461">
        <v>0</v>
      </c>
      <c r="BE461">
        <v>0</v>
      </c>
      <c r="BF461">
        <v>0</v>
      </c>
      <c r="BG461">
        <v>0</v>
      </c>
      <c r="BH461">
        <v>1</v>
      </c>
      <c r="BI461">
        <v>0.3</v>
      </c>
      <c r="BJ461">
        <v>2.5</v>
      </c>
      <c r="BK461">
        <v>2.5</v>
      </c>
      <c r="BL461">
        <v>89.59</v>
      </c>
      <c r="BM461">
        <v>13.44</v>
      </c>
      <c r="BN461">
        <v>103.03</v>
      </c>
      <c r="BO461">
        <v>103.03</v>
      </c>
      <c r="BR461" t="s">
        <v>84</v>
      </c>
      <c r="BS461" s="3">
        <v>45896</v>
      </c>
      <c r="BT461" s="4">
        <v>0.37430555555555556</v>
      </c>
      <c r="BU461" t="s">
        <v>1460</v>
      </c>
      <c r="BV461" t="s">
        <v>86</v>
      </c>
      <c r="BY461">
        <v>12663.45</v>
      </c>
      <c r="BZ461" t="s">
        <v>102</v>
      </c>
      <c r="CA461" t="s">
        <v>420</v>
      </c>
      <c r="CC461" t="s">
        <v>416</v>
      </c>
      <c r="CD461">
        <v>2021</v>
      </c>
      <c r="CE461" t="s">
        <v>471</v>
      </c>
      <c r="CF461" s="3">
        <v>45896</v>
      </c>
      <c r="CI461">
        <v>1</v>
      </c>
      <c r="CJ461">
        <v>1</v>
      </c>
      <c r="CK461">
        <v>21</v>
      </c>
      <c r="CL461" t="s">
        <v>90</v>
      </c>
    </row>
    <row r="462" spans="1:90" x14ac:dyDescent="0.3">
      <c r="A462" t="s">
        <v>72</v>
      </c>
      <c r="B462" t="s">
        <v>73</v>
      </c>
      <c r="C462" t="s">
        <v>74</v>
      </c>
      <c r="E462" t="str">
        <f>"GAB2028070"</f>
        <v>GAB2028070</v>
      </c>
      <c r="F462" s="3">
        <v>45895</v>
      </c>
      <c r="G462">
        <v>202605</v>
      </c>
      <c r="H462" t="s">
        <v>75</v>
      </c>
      <c r="I462" t="s">
        <v>76</v>
      </c>
      <c r="J462" t="s">
        <v>77</v>
      </c>
      <c r="K462" t="s">
        <v>78</v>
      </c>
      <c r="L462" t="s">
        <v>308</v>
      </c>
      <c r="M462" t="s">
        <v>309</v>
      </c>
      <c r="N462" t="s">
        <v>1461</v>
      </c>
      <c r="O462" t="s">
        <v>100</v>
      </c>
      <c r="P462" t="str">
        <f>"INV-00120446 CT096831         "</f>
        <v xml:space="preserve">INV-00120446 CT096831         </v>
      </c>
      <c r="Q462">
        <v>0</v>
      </c>
      <c r="R462">
        <v>0</v>
      </c>
      <c r="S462">
        <v>0</v>
      </c>
      <c r="T462">
        <v>0</v>
      </c>
      <c r="U462">
        <v>0</v>
      </c>
      <c r="V462">
        <v>0</v>
      </c>
      <c r="W462">
        <v>0</v>
      </c>
      <c r="X462">
        <v>0</v>
      </c>
      <c r="Y462">
        <v>0</v>
      </c>
      <c r="Z462">
        <v>0</v>
      </c>
      <c r="AA462">
        <v>0</v>
      </c>
      <c r="AB462">
        <v>0</v>
      </c>
      <c r="AC462">
        <v>0</v>
      </c>
      <c r="AD462">
        <v>0</v>
      </c>
      <c r="AE462">
        <v>0</v>
      </c>
      <c r="AF462">
        <v>0</v>
      </c>
      <c r="AG462">
        <v>0</v>
      </c>
      <c r="AH462">
        <v>0</v>
      </c>
      <c r="AI462">
        <v>0</v>
      </c>
      <c r="AJ462">
        <v>0</v>
      </c>
      <c r="AK462">
        <v>0</v>
      </c>
      <c r="AL462">
        <v>0</v>
      </c>
      <c r="AM462">
        <v>0</v>
      </c>
      <c r="AN462">
        <v>0</v>
      </c>
      <c r="AO462">
        <v>0</v>
      </c>
      <c r="AP462">
        <v>0</v>
      </c>
      <c r="AQ462">
        <v>64.92</v>
      </c>
      <c r="AR462">
        <v>0</v>
      </c>
      <c r="AS462">
        <v>0</v>
      </c>
      <c r="AT462">
        <v>0</v>
      </c>
      <c r="AU462">
        <v>0</v>
      </c>
      <c r="AV462">
        <v>0</v>
      </c>
      <c r="AW462">
        <v>0</v>
      </c>
      <c r="AX462">
        <v>0</v>
      </c>
      <c r="AY462">
        <v>0</v>
      </c>
      <c r="AZ462">
        <v>0</v>
      </c>
      <c r="BA462">
        <v>0</v>
      </c>
      <c r="BB462">
        <v>0</v>
      </c>
      <c r="BC462">
        <v>0</v>
      </c>
      <c r="BD462">
        <v>0</v>
      </c>
      <c r="BE462">
        <v>0</v>
      </c>
      <c r="BF462">
        <v>0</v>
      </c>
      <c r="BG462">
        <v>0</v>
      </c>
      <c r="BH462">
        <v>1</v>
      </c>
      <c r="BI462">
        <v>1</v>
      </c>
      <c r="BJ462">
        <v>2.6</v>
      </c>
      <c r="BK462">
        <v>3</v>
      </c>
      <c r="BL462">
        <v>201.6</v>
      </c>
      <c r="BM462">
        <v>30.24</v>
      </c>
      <c r="BN462">
        <v>231.84</v>
      </c>
      <c r="BO462">
        <v>231.84</v>
      </c>
      <c r="BQ462" t="s">
        <v>1462</v>
      </c>
      <c r="BR462" t="s">
        <v>84</v>
      </c>
      <c r="BS462" s="3">
        <v>45896</v>
      </c>
      <c r="BT462" s="4">
        <v>0.42083333333333334</v>
      </c>
      <c r="BU462" t="s">
        <v>1463</v>
      </c>
      <c r="BV462" t="s">
        <v>86</v>
      </c>
      <c r="BY462">
        <v>12949.75</v>
      </c>
      <c r="BZ462" t="s">
        <v>102</v>
      </c>
      <c r="CA462" t="s">
        <v>313</v>
      </c>
      <c r="CC462" t="s">
        <v>309</v>
      </c>
      <c r="CD462" s="5" t="s">
        <v>314</v>
      </c>
      <c r="CE462" t="s">
        <v>1464</v>
      </c>
      <c r="CF462" s="3">
        <v>45897</v>
      </c>
      <c r="CI462">
        <v>2</v>
      </c>
      <c r="CJ462">
        <v>1</v>
      </c>
      <c r="CK462">
        <v>23</v>
      </c>
      <c r="CL462" t="s">
        <v>90</v>
      </c>
    </row>
    <row r="463" spans="1:90" x14ac:dyDescent="0.3">
      <c r="A463" t="s">
        <v>72</v>
      </c>
      <c r="B463" t="s">
        <v>73</v>
      </c>
      <c r="C463" t="s">
        <v>74</v>
      </c>
      <c r="E463" t="str">
        <f>"GAB2028071"</f>
        <v>GAB2028071</v>
      </c>
      <c r="F463" s="3">
        <v>45895</v>
      </c>
      <c r="G463">
        <v>202605</v>
      </c>
      <c r="H463" t="s">
        <v>75</v>
      </c>
      <c r="I463" t="s">
        <v>76</v>
      </c>
      <c r="J463" t="s">
        <v>77</v>
      </c>
      <c r="K463" t="s">
        <v>78</v>
      </c>
      <c r="L463" t="s">
        <v>75</v>
      </c>
      <c r="M463" t="s">
        <v>76</v>
      </c>
      <c r="N463" t="s">
        <v>243</v>
      </c>
      <c r="O463" t="s">
        <v>100</v>
      </c>
      <c r="P463" t="str">
        <f>"INV-00120445 CT096822         "</f>
        <v xml:space="preserve">INV-00120445 CT096822         </v>
      </c>
      <c r="Q463">
        <v>0</v>
      </c>
      <c r="R463">
        <v>0</v>
      </c>
      <c r="S463">
        <v>0</v>
      </c>
      <c r="T463">
        <v>0</v>
      </c>
      <c r="U463">
        <v>0</v>
      </c>
      <c r="V463">
        <v>0</v>
      </c>
      <c r="W463">
        <v>0</v>
      </c>
      <c r="X463">
        <v>0</v>
      </c>
      <c r="Y463">
        <v>0</v>
      </c>
      <c r="Z463">
        <v>0</v>
      </c>
      <c r="AA463">
        <v>0</v>
      </c>
      <c r="AB463">
        <v>0</v>
      </c>
      <c r="AC463">
        <v>0</v>
      </c>
      <c r="AD463">
        <v>0</v>
      </c>
      <c r="AE463">
        <v>0</v>
      </c>
      <c r="AF463">
        <v>0</v>
      </c>
      <c r="AG463">
        <v>0</v>
      </c>
      <c r="AH463">
        <v>0</v>
      </c>
      <c r="AI463">
        <v>0</v>
      </c>
      <c r="AJ463">
        <v>0</v>
      </c>
      <c r="AK463">
        <v>0</v>
      </c>
      <c r="AL463">
        <v>0</v>
      </c>
      <c r="AM463">
        <v>0</v>
      </c>
      <c r="AN463">
        <v>0</v>
      </c>
      <c r="AO463">
        <v>0</v>
      </c>
      <c r="AP463">
        <v>0</v>
      </c>
      <c r="AQ463">
        <v>18.03</v>
      </c>
      <c r="AR463">
        <v>0</v>
      </c>
      <c r="AS463">
        <v>0</v>
      </c>
      <c r="AT463">
        <v>0</v>
      </c>
      <c r="AU463">
        <v>0</v>
      </c>
      <c r="AV463">
        <v>0</v>
      </c>
      <c r="AW463">
        <v>0</v>
      </c>
      <c r="AX463">
        <v>0</v>
      </c>
      <c r="AY463">
        <v>0</v>
      </c>
      <c r="AZ463">
        <v>0</v>
      </c>
      <c r="BA463">
        <v>0</v>
      </c>
      <c r="BB463">
        <v>0</v>
      </c>
      <c r="BC463">
        <v>0</v>
      </c>
      <c r="BD463">
        <v>0</v>
      </c>
      <c r="BE463">
        <v>0</v>
      </c>
      <c r="BF463">
        <v>0</v>
      </c>
      <c r="BG463">
        <v>0</v>
      </c>
      <c r="BH463">
        <v>1</v>
      </c>
      <c r="BI463">
        <v>0.7</v>
      </c>
      <c r="BJ463">
        <v>1.9</v>
      </c>
      <c r="BK463">
        <v>2</v>
      </c>
      <c r="BL463">
        <v>55.99</v>
      </c>
      <c r="BM463">
        <v>8.4</v>
      </c>
      <c r="BN463">
        <v>64.39</v>
      </c>
      <c r="BO463">
        <v>64.39</v>
      </c>
      <c r="BQ463" t="s">
        <v>244</v>
      </c>
      <c r="BR463" t="s">
        <v>84</v>
      </c>
      <c r="BS463" s="3">
        <v>45896</v>
      </c>
      <c r="BT463" s="4">
        <v>0.41458333333333336</v>
      </c>
      <c r="BU463" t="s">
        <v>1465</v>
      </c>
      <c r="BV463" t="s">
        <v>86</v>
      </c>
      <c r="BY463">
        <v>9710.2800000000007</v>
      </c>
      <c r="BZ463" t="s">
        <v>102</v>
      </c>
      <c r="CA463" t="s">
        <v>158</v>
      </c>
      <c r="CC463" t="s">
        <v>76</v>
      </c>
      <c r="CD463">
        <v>7800</v>
      </c>
      <c r="CE463" t="s">
        <v>265</v>
      </c>
      <c r="CF463" s="3">
        <v>45897</v>
      </c>
      <c r="CI463">
        <v>1</v>
      </c>
      <c r="CJ463">
        <v>1</v>
      </c>
      <c r="CK463">
        <v>22</v>
      </c>
      <c r="CL463" t="s">
        <v>90</v>
      </c>
    </row>
    <row r="464" spans="1:90" x14ac:dyDescent="0.3">
      <c r="A464" t="s">
        <v>72</v>
      </c>
      <c r="B464" t="s">
        <v>73</v>
      </c>
      <c r="C464" t="s">
        <v>74</v>
      </c>
      <c r="E464" t="str">
        <f>"GAB2028072"</f>
        <v>GAB2028072</v>
      </c>
      <c r="F464" s="3">
        <v>45895</v>
      </c>
      <c r="G464">
        <v>202605</v>
      </c>
      <c r="H464" t="s">
        <v>75</v>
      </c>
      <c r="I464" t="s">
        <v>76</v>
      </c>
      <c r="J464" t="s">
        <v>77</v>
      </c>
      <c r="K464" t="s">
        <v>78</v>
      </c>
      <c r="L464" t="s">
        <v>79</v>
      </c>
      <c r="M464" t="s">
        <v>80</v>
      </c>
      <c r="N464" t="s">
        <v>511</v>
      </c>
      <c r="O464" t="s">
        <v>100</v>
      </c>
      <c r="P464" t="str">
        <f>"INV-00038869 035849           "</f>
        <v xml:space="preserve">INV-00038869 035849           </v>
      </c>
      <c r="Q464">
        <v>0</v>
      </c>
      <c r="R464">
        <v>0</v>
      </c>
      <c r="S464">
        <v>0</v>
      </c>
      <c r="T464">
        <v>0</v>
      </c>
      <c r="U464">
        <v>0</v>
      </c>
      <c r="V464">
        <v>0</v>
      </c>
      <c r="W464">
        <v>0</v>
      </c>
      <c r="X464">
        <v>0</v>
      </c>
      <c r="Y464">
        <v>0</v>
      </c>
      <c r="Z464">
        <v>0</v>
      </c>
      <c r="AA464">
        <v>0</v>
      </c>
      <c r="AB464">
        <v>0</v>
      </c>
      <c r="AC464">
        <v>0</v>
      </c>
      <c r="AD464">
        <v>0</v>
      </c>
      <c r="AE464">
        <v>0</v>
      </c>
      <c r="AF464">
        <v>0</v>
      </c>
      <c r="AG464">
        <v>0</v>
      </c>
      <c r="AH464">
        <v>0</v>
      </c>
      <c r="AI464">
        <v>0</v>
      </c>
      <c r="AJ464">
        <v>0</v>
      </c>
      <c r="AK464">
        <v>0</v>
      </c>
      <c r="AL464">
        <v>0</v>
      </c>
      <c r="AM464">
        <v>0</v>
      </c>
      <c r="AN464">
        <v>0</v>
      </c>
      <c r="AO464">
        <v>0</v>
      </c>
      <c r="AP464">
        <v>0</v>
      </c>
      <c r="AQ464">
        <v>23.09</v>
      </c>
      <c r="AR464">
        <v>0</v>
      </c>
      <c r="AS464">
        <v>0</v>
      </c>
      <c r="AT464">
        <v>0</v>
      </c>
      <c r="AU464">
        <v>0</v>
      </c>
      <c r="AV464">
        <v>0</v>
      </c>
      <c r="AW464">
        <v>0</v>
      </c>
      <c r="AX464">
        <v>0</v>
      </c>
      <c r="AY464">
        <v>0</v>
      </c>
      <c r="AZ464">
        <v>0</v>
      </c>
      <c r="BA464">
        <v>0</v>
      </c>
      <c r="BB464">
        <v>0</v>
      </c>
      <c r="BC464">
        <v>0</v>
      </c>
      <c r="BD464">
        <v>0</v>
      </c>
      <c r="BE464">
        <v>0</v>
      </c>
      <c r="BF464">
        <v>0</v>
      </c>
      <c r="BG464">
        <v>0</v>
      </c>
      <c r="BH464">
        <v>1</v>
      </c>
      <c r="BI464">
        <v>0.6</v>
      </c>
      <c r="BJ464">
        <v>1.8</v>
      </c>
      <c r="BK464">
        <v>2</v>
      </c>
      <c r="BL464">
        <v>71.69</v>
      </c>
      <c r="BM464">
        <v>10.75</v>
      </c>
      <c r="BN464">
        <v>82.44</v>
      </c>
      <c r="BO464">
        <v>82.44</v>
      </c>
      <c r="BQ464" t="s">
        <v>1466</v>
      </c>
      <c r="BR464" t="s">
        <v>84</v>
      </c>
      <c r="BS464" s="3">
        <v>45896</v>
      </c>
      <c r="BT464" s="4">
        <v>0.37291666666666667</v>
      </c>
      <c r="BU464" t="s">
        <v>1467</v>
      </c>
      <c r="BV464" t="s">
        <v>86</v>
      </c>
      <c r="BY464">
        <v>9184.86</v>
      </c>
      <c r="BZ464" t="s">
        <v>102</v>
      </c>
      <c r="CA464" t="s">
        <v>1468</v>
      </c>
      <c r="CC464" t="s">
        <v>80</v>
      </c>
      <c r="CD464" s="5" t="s">
        <v>514</v>
      </c>
      <c r="CE464" t="s">
        <v>265</v>
      </c>
      <c r="CF464" s="3">
        <v>45896</v>
      </c>
      <c r="CI464">
        <v>1</v>
      </c>
      <c r="CJ464">
        <v>1</v>
      </c>
      <c r="CK464">
        <v>21</v>
      </c>
      <c r="CL464" t="s">
        <v>90</v>
      </c>
    </row>
    <row r="465" spans="1:90" x14ac:dyDescent="0.3">
      <c r="A465" t="s">
        <v>72</v>
      </c>
      <c r="B465" t="s">
        <v>73</v>
      </c>
      <c r="C465" t="s">
        <v>74</v>
      </c>
      <c r="E465" t="str">
        <f>"GAB2027934"</f>
        <v>GAB2027934</v>
      </c>
      <c r="F465" s="3">
        <v>45888</v>
      </c>
      <c r="G465">
        <v>202605</v>
      </c>
      <c r="H465" t="s">
        <v>75</v>
      </c>
      <c r="I465" t="s">
        <v>76</v>
      </c>
      <c r="J465" t="s">
        <v>257</v>
      </c>
      <c r="K465" t="s">
        <v>78</v>
      </c>
      <c r="L465" t="s">
        <v>1469</v>
      </c>
      <c r="M465" t="s">
        <v>1470</v>
      </c>
      <c r="N465" t="s">
        <v>1471</v>
      </c>
      <c r="O465" t="s">
        <v>82</v>
      </c>
      <c r="P465" t="str">
        <f>"INV-00120230 CT095016         "</f>
        <v xml:space="preserve">INV-00120230 CT095016         </v>
      </c>
      <c r="Q465">
        <v>0</v>
      </c>
      <c r="R465">
        <v>0</v>
      </c>
      <c r="S465">
        <v>0</v>
      </c>
      <c r="T465">
        <v>0</v>
      </c>
      <c r="U465">
        <v>0</v>
      </c>
      <c r="V465">
        <v>0</v>
      </c>
      <c r="W465">
        <v>0</v>
      </c>
      <c r="X465">
        <v>0</v>
      </c>
      <c r="Y465">
        <v>0</v>
      </c>
      <c r="Z465">
        <v>0</v>
      </c>
      <c r="AA465">
        <v>0</v>
      </c>
      <c r="AB465">
        <v>0</v>
      </c>
      <c r="AC465">
        <v>0</v>
      </c>
      <c r="AD465">
        <v>0</v>
      </c>
      <c r="AE465">
        <v>0</v>
      </c>
      <c r="AF465">
        <v>0</v>
      </c>
      <c r="AG465">
        <v>5.87</v>
      </c>
      <c r="AH465">
        <v>0</v>
      </c>
      <c r="AI465">
        <v>0</v>
      </c>
      <c r="AJ465">
        <v>0</v>
      </c>
      <c r="AK465">
        <v>0</v>
      </c>
      <c r="AL465">
        <v>0</v>
      </c>
      <c r="AM465">
        <v>0</v>
      </c>
      <c r="AN465">
        <v>0</v>
      </c>
      <c r="AO465">
        <v>0</v>
      </c>
      <c r="AP465">
        <v>0</v>
      </c>
      <c r="AQ465">
        <v>91.9</v>
      </c>
      <c r="AR465">
        <v>0</v>
      </c>
      <c r="AS465">
        <v>0</v>
      </c>
      <c r="AT465">
        <v>0</v>
      </c>
      <c r="AU465">
        <v>0</v>
      </c>
      <c r="AV465">
        <v>0</v>
      </c>
      <c r="AW465">
        <v>0</v>
      </c>
      <c r="AX465">
        <v>0</v>
      </c>
      <c r="AY465">
        <v>0</v>
      </c>
      <c r="AZ465">
        <v>0</v>
      </c>
      <c r="BA465">
        <v>0</v>
      </c>
      <c r="BB465">
        <v>0</v>
      </c>
      <c r="BC465">
        <v>0</v>
      </c>
      <c r="BD465">
        <v>0</v>
      </c>
      <c r="BE465">
        <v>0</v>
      </c>
      <c r="BF465">
        <v>0</v>
      </c>
      <c r="BG465">
        <v>0</v>
      </c>
      <c r="BH465">
        <v>2</v>
      </c>
      <c r="BI465">
        <v>15.7</v>
      </c>
      <c r="BJ465">
        <v>23.5</v>
      </c>
      <c r="BK465">
        <v>24</v>
      </c>
      <c r="BL465">
        <v>291.25</v>
      </c>
      <c r="BM465">
        <v>43.69</v>
      </c>
      <c r="BN465">
        <v>334.94</v>
      </c>
      <c r="BO465">
        <v>334.94</v>
      </c>
      <c r="BQ465" t="s">
        <v>135</v>
      </c>
      <c r="BR465" t="s">
        <v>491</v>
      </c>
      <c r="BS465" s="3">
        <v>45896</v>
      </c>
      <c r="BT465" s="4">
        <v>0.3611111111111111</v>
      </c>
      <c r="BU465" t="s">
        <v>1472</v>
      </c>
      <c r="BV465" t="s">
        <v>90</v>
      </c>
      <c r="BW465" t="s">
        <v>589</v>
      </c>
      <c r="BX465" t="s">
        <v>1473</v>
      </c>
      <c r="BY465">
        <v>117732.65</v>
      </c>
      <c r="BZ465" t="s">
        <v>530</v>
      </c>
      <c r="CC465" t="s">
        <v>1470</v>
      </c>
      <c r="CD465">
        <v>4735</v>
      </c>
      <c r="CE465" t="s">
        <v>1195</v>
      </c>
      <c r="CF465" s="3">
        <v>45896</v>
      </c>
      <c r="CI465">
        <v>7</v>
      </c>
      <c r="CJ465">
        <v>6</v>
      </c>
      <c r="CK465">
        <v>43</v>
      </c>
      <c r="CL465" t="s">
        <v>90</v>
      </c>
    </row>
    <row r="466" spans="1:90" x14ac:dyDescent="0.3">
      <c r="A466" t="s">
        <v>72</v>
      </c>
      <c r="B466" t="s">
        <v>73</v>
      </c>
      <c r="C466" t="s">
        <v>74</v>
      </c>
      <c r="E466" t="str">
        <f>"009940256410"</f>
        <v>009940256410</v>
      </c>
      <c r="F466" s="3">
        <v>45845</v>
      </c>
      <c r="G466">
        <v>202605</v>
      </c>
      <c r="H466" t="s">
        <v>75</v>
      </c>
      <c r="I466" t="s">
        <v>76</v>
      </c>
      <c r="J466" t="s">
        <v>257</v>
      </c>
      <c r="K466" t="s">
        <v>78</v>
      </c>
      <c r="L466" t="s">
        <v>1474</v>
      </c>
      <c r="M466" t="s">
        <v>1475</v>
      </c>
      <c r="N466" t="s">
        <v>1476</v>
      </c>
      <c r="O466" t="s">
        <v>1477</v>
      </c>
      <c r="P466" t="str">
        <f>"CT095953 086 922 025 151 681  "</f>
        <v xml:space="preserve">CT095953 086 922 025 151 681  </v>
      </c>
      <c r="Q466">
        <v>0</v>
      </c>
      <c r="R466">
        <v>0</v>
      </c>
      <c r="S466">
        <v>0</v>
      </c>
      <c r="T466">
        <v>0</v>
      </c>
      <c r="U466">
        <v>0</v>
      </c>
      <c r="V466">
        <v>0</v>
      </c>
      <c r="W466">
        <v>0</v>
      </c>
      <c r="X466">
        <v>0</v>
      </c>
      <c r="Y466">
        <v>0</v>
      </c>
      <c r="Z466">
        <v>0</v>
      </c>
      <c r="AA466">
        <v>0</v>
      </c>
      <c r="AB466">
        <v>0</v>
      </c>
      <c r="AC466">
        <v>0</v>
      </c>
      <c r="AD466">
        <v>0</v>
      </c>
      <c r="AE466">
        <v>0</v>
      </c>
      <c r="AF466">
        <v>0</v>
      </c>
      <c r="AG466">
        <v>0</v>
      </c>
      <c r="AH466">
        <v>0</v>
      </c>
      <c r="AI466">
        <v>0</v>
      </c>
      <c r="AJ466">
        <v>0</v>
      </c>
      <c r="AK466">
        <v>0</v>
      </c>
      <c r="AL466">
        <v>0</v>
      </c>
      <c r="AM466">
        <v>0</v>
      </c>
      <c r="AN466">
        <v>0</v>
      </c>
      <c r="AO466">
        <v>0</v>
      </c>
      <c r="AP466">
        <v>0</v>
      </c>
      <c r="AQ466">
        <v>1716.64</v>
      </c>
      <c r="AR466">
        <v>0</v>
      </c>
      <c r="AS466">
        <v>0</v>
      </c>
      <c r="AT466">
        <v>0</v>
      </c>
      <c r="AU466">
        <v>0</v>
      </c>
      <c r="AV466">
        <v>0</v>
      </c>
      <c r="AW466">
        <v>0</v>
      </c>
      <c r="AX466">
        <v>0</v>
      </c>
      <c r="AY466">
        <v>0</v>
      </c>
      <c r="AZ466">
        <v>0</v>
      </c>
      <c r="BA466">
        <v>0</v>
      </c>
      <c r="BB466">
        <v>0</v>
      </c>
      <c r="BC466">
        <v>0</v>
      </c>
      <c r="BD466">
        <v>0</v>
      </c>
      <c r="BE466">
        <v>0</v>
      </c>
      <c r="BF466">
        <v>0</v>
      </c>
      <c r="BG466">
        <v>0</v>
      </c>
      <c r="BH466">
        <v>9</v>
      </c>
      <c r="BI466">
        <v>72.099999999999994</v>
      </c>
      <c r="BJ466">
        <v>177.1</v>
      </c>
      <c r="BK466">
        <v>178</v>
      </c>
      <c r="BL466">
        <v>5821.42</v>
      </c>
      <c r="BM466">
        <v>0</v>
      </c>
      <c r="BN466">
        <v>5821.42</v>
      </c>
      <c r="BO466">
        <v>5821.42</v>
      </c>
      <c r="BQ466" t="s">
        <v>1478</v>
      </c>
      <c r="BR466" t="s">
        <v>491</v>
      </c>
      <c r="BS466" s="3">
        <v>45873</v>
      </c>
      <c r="BT466" s="4">
        <v>0.58888888888888891</v>
      </c>
      <c r="BU466" t="s">
        <v>1479</v>
      </c>
      <c r="BY466">
        <v>885341.45</v>
      </c>
      <c r="BZ466" t="s">
        <v>1480</v>
      </c>
      <c r="CC466" t="s">
        <v>1475</v>
      </c>
      <c r="CD466" t="s">
        <v>1481</v>
      </c>
      <c r="CE466" t="s">
        <v>176</v>
      </c>
      <c r="CI466">
        <v>0</v>
      </c>
      <c r="CJ466">
        <v>0</v>
      </c>
      <c r="CK466">
        <v>301</v>
      </c>
      <c r="CL466" t="s">
        <v>90</v>
      </c>
    </row>
    <row r="467" spans="1:90" x14ac:dyDescent="0.3">
      <c r="A467" t="s">
        <v>72</v>
      </c>
      <c r="B467" t="s">
        <v>73</v>
      </c>
      <c r="C467" t="s">
        <v>74</v>
      </c>
      <c r="E467" t="str">
        <f>"GAB2028083"</f>
        <v>GAB2028083</v>
      </c>
      <c r="F467" s="3">
        <v>45896</v>
      </c>
      <c r="G467">
        <v>202605</v>
      </c>
      <c r="H467" t="s">
        <v>75</v>
      </c>
      <c r="I467" t="s">
        <v>76</v>
      </c>
      <c r="J467" t="s">
        <v>77</v>
      </c>
      <c r="K467" t="s">
        <v>78</v>
      </c>
      <c r="L467" t="s">
        <v>79</v>
      </c>
      <c r="M467" t="s">
        <v>80</v>
      </c>
      <c r="N467" t="s">
        <v>1482</v>
      </c>
      <c r="O467" t="s">
        <v>82</v>
      </c>
      <c r="P467" t="str">
        <f>"INVOICE 00120459 CT096651     "</f>
        <v xml:space="preserve">INVOICE 00120459 CT096651     </v>
      </c>
      <c r="Q467">
        <v>0</v>
      </c>
      <c r="R467">
        <v>0</v>
      </c>
      <c r="S467">
        <v>0</v>
      </c>
      <c r="T467">
        <v>0</v>
      </c>
      <c r="U467">
        <v>0</v>
      </c>
      <c r="V467">
        <v>0</v>
      </c>
      <c r="W467">
        <v>0</v>
      </c>
      <c r="X467">
        <v>0</v>
      </c>
      <c r="Y467">
        <v>0</v>
      </c>
      <c r="Z467">
        <v>0</v>
      </c>
      <c r="AA467">
        <v>0</v>
      </c>
      <c r="AB467">
        <v>0</v>
      </c>
      <c r="AC467">
        <v>0</v>
      </c>
      <c r="AD467">
        <v>0</v>
      </c>
      <c r="AE467">
        <v>0</v>
      </c>
      <c r="AF467">
        <v>0</v>
      </c>
      <c r="AG467">
        <v>5.87</v>
      </c>
      <c r="AH467">
        <v>0</v>
      </c>
      <c r="AI467">
        <v>0</v>
      </c>
      <c r="AJ467">
        <v>0</v>
      </c>
      <c r="AK467">
        <v>0</v>
      </c>
      <c r="AL467">
        <v>0</v>
      </c>
      <c r="AM467">
        <v>0</v>
      </c>
      <c r="AN467">
        <v>0</v>
      </c>
      <c r="AO467">
        <v>0</v>
      </c>
      <c r="AP467">
        <v>0</v>
      </c>
      <c r="AQ467">
        <v>48.33</v>
      </c>
      <c r="AR467">
        <v>0</v>
      </c>
      <c r="AS467">
        <v>0</v>
      </c>
      <c r="AT467">
        <v>0</v>
      </c>
      <c r="AU467">
        <v>0</v>
      </c>
      <c r="AV467">
        <v>0</v>
      </c>
      <c r="AW467">
        <v>0</v>
      </c>
      <c r="AX467">
        <v>0</v>
      </c>
      <c r="AY467">
        <v>0</v>
      </c>
      <c r="AZ467">
        <v>0</v>
      </c>
      <c r="BA467">
        <v>0</v>
      </c>
      <c r="BB467">
        <v>0</v>
      </c>
      <c r="BC467">
        <v>0</v>
      </c>
      <c r="BD467">
        <v>0</v>
      </c>
      <c r="BE467">
        <v>0</v>
      </c>
      <c r="BF467">
        <v>0</v>
      </c>
      <c r="BG467">
        <v>0</v>
      </c>
      <c r="BH467">
        <v>2</v>
      </c>
      <c r="BI467">
        <v>7.9</v>
      </c>
      <c r="BJ467">
        <v>16.600000000000001</v>
      </c>
      <c r="BK467">
        <v>17</v>
      </c>
      <c r="BL467">
        <v>155.94</v>
      </c>
      <c r="BM467">
        <v>23.39</v>
      </c>
      <c r="BN467">
        <v>179.33</v>
      </c>
      <c r="BO467">
        <v>179.33</v>
      </c>
      <c r="BQ467" t="s">
        <v>1483</v>
      </c>
      <c r="BR467" t="s">
        <v>84</v>
      </c>
      <c r="BS467" t="s">
        <v>176</v>
      </c>
      <c r="BY467">
        <v>83204.55</v>
      </c>
      <c r="CC467" t="s">
        <v>80</v>
      </c>
      <c r="CD467" s="5" t="s">
        <v>237</v>
      </c>
      <c r="CE467" t="s">
        <v>1484</v>
      </c>
      <c r="CI467">
        <v>3</v>
      </c>
      <c r="CJ467" t="s">
        <v>176</v>
      </c>
      <c r="CK467">
        <v>41</v>
      </c>
      <c r="CL467" t="s">
        <v>90</v>
      </c>
    </row>
    <row r="468" spans="1:90" x14ac:dyDescent="0.3">
      <c r="A468" t="s">
        <v>72</v>
      </c>
      <c r="B468" t="s">
        <v>73</v>
      </c>
      <c r="C468" t="s">
        <v>74</v>
      </c>
      <c r="E468" t="str">
        <f>"GAB2028084"</f>
        <v>GAB2028084</v>
      </c>
      <c r="F468" s="3">
        <v>45896</v>
      </c>
      <c r="G468">
        <v>202605</v>
      </c>
      <c r="H468" t="s">
        <v>75</v>
      </c>
      <c r="I468" t="s">
        <v>76</v>
      </c>
      <c r="J468" t="s">
        <v>77</v>
      </c>
      <c r="K468" t="s">
        <v>78</v>
      </c>
      <c r="L468" t="s">
        <v>1485</v>
      </c>
      <c r="M468" t="s">
        <v>1486</v>
      </c>
      <c r="N468" t="s">
        <v>1487</v>
      </c>
      <c r="O468" t="s">
        <v>82</v>
      </c>
      <c r="P468" t="str">
        <f>"INVOICE 00120458 CT096530     "</f>
        <v xml:space="preserve">INVOICE 00120458 CT096530     </v>
      </c>
      <c r="Q468">
        <v>0</v>
      </c>
      <c r="R468">
        <v>0</v>
      </c>
      <c r="S468">
        <v>0</v>
      </c>
      <c r="T468">
        <v>0</v>
      </c>
      <c r="U468">
        <v>0</v>
      </c>
      <c r="V468">
        <v>0</v>
      </c>
      <c r="W468">
        <v>0</v>
      </c>
      <c r="X468">
        <v>0</v>
      </c>
      <c r="Y468">
        <v>0</v>
      </c>
      <c r="Z468">
        <v>0</v>
      </c>
      <c r="AA468">
        <v>0</v>
      </c>
      <c r="AB468">
        <v>0</v>
      </c>
      <c r="AC468">
        <v>0</v>
      </c>
      <c r="AD468">
        <v>0</v>
      </c>
      <c r="AE468">
        <v>0</v>
      </c>
      <c r="AF468">
        <v>0</v>
      </c>
      <c r="AG468">
        <v>5.87</v>
      </c>
      <c r="AH468">
        <v>0</v>
      </c>
      <c r="AI468">
        <v>0</v>
      </c>
      <c r="AJ468">
        <v>0</v>
      </c>
      <c r="AK468">
        <v>0</v>
      </c>
      <c r="AL468">
        <v>0</v>
      </c>
      <c r="AM468">
        <v>0</v>
      </c>
      <c r="AN468">
        <v>0</v>
      </c>
      <c r="AO468">
        <v>0</v>
      </c>
      <c r="AP468">
        <v>0</v>
      </c>
      <c r="AQ468">
        <v>44.64</v>
      </c>
      <c r="AR468">
        <v>0</v>
      </c>
      <c r="AS468">
        <v>0</v>
      </c>
      <c r="AT468">
        <v>0</v>
      </c>
      <c r="AU468">
        <v>0</v>
      </c>
      <c r="AV468">
        <v>0</v>
      </c>
      <c r="AW468">
        <v>0</v>
      </c>
      <c r="AX468">
        <v>0</v>
      </c>
      <c r="AY468">
        <v>0</v>
      </c>
      <c r="AZ468">
        <v>0</v>
      </c>
      <c r="BA468">
        <v>0</v>
      </c>
      <c r="BB468">
        <v>0</v>
      </c>
      <c r="BC468">
        <v>0</v>
      </c>
      <c r="BD468">
        <v>0</v>
      </c>
      <c r="BE468">
        <v>0</v>
      </c>
      <c r="BF468">
        <v>0</v>
      </c>
      <c r="BG468">
        <v>0</v>
      </c>
      <c r="BH468">
        <v>1</v>
      </c>
      <c r="BI468">
        <v>6.8</v>
      </c>
      <c r="BJ468">
        <v>12.3</v>
      </c>
      <c r="BK468">
        <v>13</v>
      </c>
      <c r="BL468">
        <v>144.49</v>
      </c>
      <c r="BM468">
        <v>21.67</v>
      </c>
      <c r="BN468">
        <v>166.16</v>
      </c>
      <c r="BO468">
        <v>166.16</v>
      </c>
      <c r="BQ468" t="s">
        <v>1488</v>
      </c>
      <c r="BR468" t="s">
        <v>84</v>
      </c>
      <c r="BS468" t="s">
        <v>176</v>
      </c>
      <c r="BY468">
        <v>61705.919999999998</v>
      </c>
      <c r="CC468" t="s">
        <v>1486</v>
      </c>
      <c r="CD468">
        <v>6229</v>
      </c>
      <c r="CE468" t="s">
        <v>1484</v>
      </c>
      <c r="CI468">
        <v>3</v>
      </c>
      <c r="CJ468" t="s">
        <v>176</v>
      </c>
      <c r="CK468">
        <v>41</v>
      </c>
      <c r="CL468" t="s">
        <v>90</v>
      </c>
    </row>
    <row r="469" spans="1:90" x14ac:dyDescent="0.3">
      <c r="A469" t="s">
        <v>72</v>
      </c>
      <c r="B469" t="s">
        <v>73</v>
      </c>
      <c r="C469" t="s">
        <v>74</v>
      </c>
      <c r="E469" t="str">
        <f>"GAB2028085"</f>
        <v>GAB2028085</v>
      </c>
      <c r="F469" s="3">
        <v>45896</v>
      </c>
      <c r="G469">
        <v>202605</v>
      </c>
      <c r="H469" t="s">
        <v>75</v>
      </c>
      <c r="I469" t="s">
        <v>76</v>
      </c>
      <c r="J469" t="s">
        <v>77</v>
      </c>
      <c r="K469" t="s">
        <v>78</v>
      </c>
      <c r="L469" t="s">
        <v>79</v>
      </c>
      <c r="M469" t="s">
        <v>80</v>
      </c>
      <c r="N469" t="s">
        <v>1489</v>
      </c>
      <c r="O469" t="s">
        <v>82</v>
      </c>
      <c r="P469" t="str">
        <f>"INVOICE 00120457 CT096500     "</f>
        <v xml:space="preserve">INVOICE 00120457 CT096500     </v>
      </c>
      <c r="Q469">
        <v>0</v>
      </c>
      <c r="R469">
        <v>0</v>
      </c>
      <c r="S469">
        <v>0</v>
      </c>
      <c r="T469">
        <v>0</v>
      </c>
      <c r="U469">
        <v>0</v>
      </c>
      <c r="V469">
        <v>0</v>
      </c>
      <c r="W469">
        <v>0</v>
      </c>
      <c r="X469">
        <v>0</v>
      </c>
      <c r="Y469">
        <v>0</v>
      </c>
      <c r="Z469">
        <v>0</v>
      </c>
      <c r="AA469">
        <v>0</v>
      </c>
      <c r="AB469">
        <v>0</v>
      </c>
      <c r="AC469">
        <v>0</v>
      </c>
      <c r="AD469">
        <v>0</v>
      </c>
      <c r="AE469">
        <v>0</v>
      </c>
      <c r="AF469">
        <v>0</v>
      </c>
      <c r="AG469">
        <v>5.87</v>
      </c>
      <c r="AH469">
        <v>0</v>
      </c>
      <c r="AI469">
        <v>0</v>
      </c>
      <c r="AJ469">
        <v>0</v>
      </c>
      <c r="AK469">
        <v>0</v>
      </c>
      <c r="AL469">
        <v>0</v>
      </c>
      <c r="AM469">
        <v>0</v>
      </c>
      <c r="AN469">
        <v>0</v>
      </c>
      <c r="AO469">
        <v>0</v>
      </c>
      <c r="AP469">
        <v>0</v>
      </c>
      <c r="AQ469">
        <v>44.64</v>
      </c>
      <c r="AR469">
        <v>0</v>
      </c>
      <c r="AS469">
        <v>0</v>
      </c>
      <c r="AT469">
        <v>0</v>
      </c>
      <c r="AU469">
        <v>0</v>
      </c>
      <c r="AV469">
        <v>0</v>
      </c>
      <c r="AW469">
        <v>0</v>
      </c>
      <c r="AX469">
        <v>0</v>
      </c>
      <c r="AY469">
        <v>0</v>
      </c>
      <c r="AZ469">
        <v>0</v>
      </c>
      <c r="BA469">
        <v>0</v>
      </c>
      <c r="BB469">
        <v>0</v>
      </c>
      <c r="BC469">
        <v>0</v>
      </c>
      <c r="BD469">
        <v>0</v>
      </c>
      <c r="BE469">
        <v>0</v>
      </c>
      <c r="BF469">
        <v>0</v>
      </c>
      <c r="BG469">
        <v>0</v>
      </c>
      <c r="BH469">
        <v>1</v>
      </c>
      <c r="BI469">
        <v>1.8</v>
      </c>
      <c r="BJ469">
        <v>7.8</v>
      </c>
      <c r="BK469">
        <v>8</v>
      </c>
      <c r="BL469">
        <v>144.49</v>
      </c>
      <c r="BM469">
        <v>21.67</v>
      </c>
      <c r="BN469">
        <v>166.16</v>
      </c>
      <c r="BO469">
        <v>166.16</v>
      </c>
      <c r="BQ469" t="s">
        <v>1490</v>
      </c>
      <c r="BR469" t="s">
        <v>84</v>
      </c>
      <c r="BS469" t="s">
        <v>176</v>
      </c>
      <c r="BY469">
        <v>39220.74</v>
      </c>
      <c r="CC469" t="s">
        <v>80</v>
      </c>
      <c r="CD469" s="5" t="s">
        <v>237</v>
      </c>
      <c r="CE469" t="s">
        <v>1484</v>
      </c>
      <c r="CI469">
        <v>3</v>
      </c>
      <c r="CJ469" t="s">
        <v>176</v>
      </c>
      <c r="CK469">
        <v>41</v>
      </c>
      <c r="CL469" t="s">
        <v>90</v>
      </c>
    </row>
    <row r="470" spans="1:90" x14ac:dyDescent="0.3">
      <c r="A470" t="s">
        <v>72</v>
      </c>
      <c r="B470" t="s">
        <v>73</v>
      </c>
      <c r="C470" t="s">
        <v>74</v>
      </c>
      <c r="E470" t="str">
        <f>"GAB2028089"</f>
        <v>GAB2028089</v>
      </c>
      <c r="F470" s="3">
        <v>45896</v>
      </c>
      <c r="G470">
        <v>202605</v>
      </c>
      <c r="H470" t="s">
        <v>75</v>
      </c>
      <c r="I470" t="s">
        <v>76</v>
      </c>
      <c r="J470" t="s">
        <v>77</v>
      </c>
      <c r="K470" t="s">
        <v>78</v>
      </c>
      <c r="L470" t="s">
        <v>91</v>
      </c>
      <c r="M470" t="s">
        <v>92</v>
      </c>
      <c r="N470" t="s">
        <v>537</v>
      </c>
      <c r="O470" t="s">
        <v>82</v>
      </c>
      <c r="P470" t="str">
        <f>"INGM00120480 CT096781         "</f>
        <v xml:space="preserve">INGM00120480 CT096781         </v>
      </c>
      <c r="Q470">
        <v>0</v>
      </c>
      <c r="R470">
        <v>0</v>
      </c>
      <c r="S470">
        <v>0</v>
      </c>
      <c r="T470">
        <v>0</v>
      </c>
      <c r="U470">
        <v>0</v>
      </c>
      <c r="V470">
        <v>0</v>
      </c>
      <c r="W470">
        <v>0</v>
      </c>
      <c r="X470">
        <v>0</v>
      </c>
      <c r="Y470">
        <v>0</v>
      </c>
      <c r="Z470">
        <v>0</v>
      </c>
      <c r="AA470">
        <v>0</v>
      </c>
      <c r="AB470">
        <v>0</v>
      </c>
      <c r="AC470">
        <v>0</v>
      </c>
      <c r="AD470">
        <v>0</v>
      </c>
      <c r="AE470">
        <v>0</v>
      </c>
      <c r="AF470">
        <v>0</v>
      </c>
      <c r="AG470">
        <v>5.87</v>
      </c>
      <c r="AH470">
        <v>0</v>
      </c>
      <c r="AI470">
        <v>0</v>
      </c>
      <c r="AJ470">
        <v>0</v>
      </c>
      <c r="AK470">
        <v>0</v>
      </c>
      <c r="AL470">
        <v>0</v>
      </c>
      <c r="AM470">
        <v>0</v>
      </c>
      <c r="AN470">
        <v>0</v>
      </c>
      <c r="AO470">
        <v>0</v>
      </c>
      <c r="AP470">
        <v>0</v>
      </c>
      <c r="AQ470">
        <v>44.64</v>
      </c>
      <c r="AR470">
        <v>0</v>
      </c>
      <c r="AS470">
        <v>0</v>
      </c>
      <c r="AT470">
        <v>0</v>
      </c>
      <c r="AU470">
        <v>0</v>
      </c>
      <c r="AV470">
        <v>0</v>
      </c>
      <c r="AW470">
        <v>0</v>
      </c>
      <c r="AX470">
        <v>0</v>
      </c>
      <c r="AY470">
        <v>0</v>
      </c>
      <c r="AZ470">
        <v>0</v>
      </c>
      <c r="BA470">
        <v>0</v>
      </c>
      <c r="BB470">
        <v>0</v>
      </c>
      <c r="BC470">
        <v>0</v>
      </c>
      <c r="BD470">
        <v>0</v>
      </c>
      <c r="BE470">
        <v>0</v>
      </c>
      <c r="BF470">
        <v>0</v>
      </c>
      <c r="BG470">
        <v>0</v>
      </c>
      <c r="BH470">
        <v>1</v>
      </c>
      <c r="BI470">
        <v>1.4</v>
      </c>
      <c r="BJ470">
        <v>1.8</v>
      </c>
      <c r="BK470">
        <v>2</v>
      </c>
      <c r="BL470">
        <v>144.49</v>
      </c>
      <c r="BM470">
        <v>21.67</v>
      </c>
      <c r="BN470">
        <v>166.16</v>
      </c>
      <c r="BO470">
        <v>166.16</v>
      </c>
      <c r="BR470" t="s">
        <v>84</v>
      </c>
      <c r="BS470" t="s">
        <v>176</v>
      </c>
      <c r="BY470">
        <v>9216.9</v>
      </c>
      <c r="CC470" t="s">
        <v>92</v>
      </c>
      <c r="CD470">
        <v>4001</v>
      </c>
      <c r="CE470" t="s">
        <v>1484</v>
      </c>
      <c r="CI470">
        <v>3</v>
      </c>
      <c r="CJ470" t="s">
        <v>176</v>
      </c>
      <c r="CK470">
        <v>41</v>
      </c>
      <c r="CL470" t="s">
        <v>90</v>
      </c>
    </row>
    <row r="471" spans="1:90" x14ac:dyDescent="0.3">
      <c r="A471" t="s">
        <v>72</v>
      </c>
      <c r="B471" t="s">
        <v>73</v>
      </c>
      <c r="C471" t="s">
        <v>74</v>
      </c>
      <c r="E471" t="str">
        <f>"GAB2028094"</f>
        <v>GAB2028094</v>
      </c>
      <c r="F471" s="3">
        <v>45896</v>
      </c>
      <c r="G471">
        <v>202605</v>
      </c>
      <c r="H471" t="s">
        <v>75</v>
      </c>
      <c r="I471" t="s">
        <v>76</v>
      </c>
      <c r="J471" t="s">
        <v>77</v>
      </c>
      <c r="K471" t="s">
        <v>78</v>
      </c>
      <c r="L471" t="s">
        <v>545</v>
      </c>
      <c r="M471" t="s">
        <v>546</v>
      </c>
      <c r="N471" t="s">
        <v>1026</v>
      </c>
      <c r="O471" t="s">
        <v>82</v>
      </c>
      <c r="P471" t="str">
        <f>"DEL NOTE 19559 CT096835       "</f>
        <v xml:space="preserve">DEL NOTE 19559 CT096835       </v>
      </c>
      <c r="Q471">
        <v>0</v>
      </c>
      <c r="R471">
        <v>0</v>
      </c>
      <c r="S471">
        <v>0</v>
      </c>
      <c r="T471">
        <v>0</v>
      </c>
      <c r="U471">
        <v>0</v>
      </c>
      <c r="V471">
        <v>0</v>
      </c>
      <c r="W471">
        <v>0</v>
      </c>
      <c r="X471">
        <v>0</v>
      </c>
      <c r="Y471">
        <v>0</v>
      </c>
      <c r="Z471">
        <v>0</v>
      </c>
      <c r="AA471">
        <v>0</v>
      </c>
      <c r="AB471">
        <v>0</v>
      </c>
      <c r="AC471">
        <v>0</v>
      </c>
      <c r="AD471">
        <v>0</v>
      </c>
      <c r="AE471">
        <v>0</v>
      </c>
      <c r="AF471">
        <v>0</v>
      </c>
      <c r="AG471">
        <v>5.87</v>
      </c>
      <c r="AH471">
        <v>0</v>
      </c>
      <c r="AI471">
        <v>0</v>
      </c>
      <c r="AJ471">
        <v>0</v>
      </c>
      <c r="AK471">
        <v>0</v>
      </c>
      <c r="AL471">
        <v>0</v>
      </c>
      <c r="AM471">
        <v>0</v>
      </c>
      <c r="AN471">
        <v>0</v>
      </c>
      <c r="AO471">
        <v>0</v>
      </c>
      <c r="AP471">
        <v>0</v>
      </c>
      <c r="AQ471">
        <v>44.64</v>
      </c>
      <c r="AR471">
        <v>0</v>
      </c>
      <c r="AS471">
        <v>0</v>
      </c>
      <c r="AT471">
        <v>0</v>
      </c>
      <c r="AU471">
        <v>0</v>
      </c>
      <c r="AV471">
        <v>0</v>
      </c>
      <c r="AW471">
        <v>0</v>
      </c>
      <c r="AX471">
        <v>0</v>
      </c>
      <c r="AY471">
        <v>0</v>
      </c>
      <c r="AZ471">
        <v>0</v>
      </c>
      <c r="BA471">
        <v>0</v>
      </c>
      <c r="BB471">
        <v>0</v>
      </c>
      <c r="BC471">
        <v>0</v>
      </c>
      <c r="BD471">
        <v>0</v>
      </c>
      <c r="BE471">
        <v>0</v>
      </c>
      <c r="BF471">
        <v>0</v>
      </c>
      <c r="BG471">
        <v>0</v>
      </c>
      <c r="BH471">
        <v>1</v>
      </c>
      <c r="BI471">
        <v>2.6</v>
      </c>
      <c r="BJ471">
        <v>8.1</v>
      </c>
      <c r="BK471">
        <v>9</v>
      </c>
      <c r="BL471">
        <v>144.49</v>
      </c>
      <c r="BM471">
        <v>21.67</v>
      </c>
      <c r="BN471">
        <v>166.16</v>
      </c>
      <c r="BO471">
        <v>166.16</v>
      </c>
      <c r="BR471" t="s">
        <v>84</v>
      </c>
      <c r="BS471" t="s">
        <v>176</v>
      </c>
      <c r="BY471">
        <v>40677</v>
      </c>
      <c r="CC471" t="s">
        <v>546</v>
      </c>
      <c r="CD471">
        <v>1619</v>
      </c>
      <c r="CE471" t="s">
        <v>1484</v>
      </c>
      <c r="CI471">
        <v>2</v>
      </c>
      <c r="CJ471" t="s">
        <v>176</v>
      </c>
      <c r="CK471">
        <v>41</v>
      </c>
      <c r="CL471" t="s">
        <v>90</v>
      </c>
    </row>
    <row r="472" spans="1:90" x14ac:dyDescent="0.3">
      <c r="A472" t="s">
        <v>72</v>
      </c>
      <c r="B472" t="s">
        <v>73</v>
      </c>
      <c r="C472" t="s">
        <v>74</v>
      </c>
      <c r="E472" t="str">
        <f>"GAB2028073"</f>
        <v>GAB2028073</v>
      </c>
      <c r="F472" s="3">
        <v>45896</v>
      </c>
      <c r="G472">
        <v>202605</v>
      </c>
      <c r="H472" t="s">
        <v>75</v>
      </c>
      <c r="I472" t="s">
        <v>76</v>
      </c>
      <c r="J472" t="s">
        <v>77</v>
      </c>
      <c r="K472" t="s">
        <v>78</v>
      </c>
      <c r="L472" t="s">
        <v>75</v>
      </c>
      <c r="M472" t="s">
        <v>76</v>
      </c>
      <c r="N472" t="s">
        <v>1491</v>
      </c>
      <c r="O472" t="s">
        <v>100</v>
      </c>
      <c r="P472" t="str">
        <f>"INVO ICE INGM00120470 CT096841"</f>
        <v>INVO ICE INGM00120470 CT096841</v>
      </c>
      <c r="Q472">
        <v>0</v>
      </c>
      <c r="R472">
        <v>0</v>
      </c>
      <c r="S472">
        <v>0</v>
      </c>
      <c r="T472">
        <v>0</v>
      </c>
      <c r="U472">
        <v>0</v>
      </c>
      <c r="V472">
        <v>0</v>
      </c>
      <c r="W472">
        <v>0</v>
      </c>
      <c r="X472">
        <v>0</v>
      </c>
      <c r="Y472">
        <v>0</v>
      </c>
      <c r="Z472">
        <v>0</v>
      </c>
      <c r="AA472">
        <v>0</v>
      </c>
      <c r="AB472">
        <v>0</v>
      </c>
      <c r="AC472">
        <v>0</v>
      </c>
      <c r="AD472">
        <v>0</v>
      </c>
      <c r="AE472">
        <v>0</v>
      </c>
      <c r="AF472">
        <v>0</v>
      </c>
      <c r="AG472">
        <v>0</v>
      </c>
      <c r="AH472">
        <v>0</v>
      </c>
      <c r="AI472">
        <v>0</v>
      </c>
      <c r="AJ472">
        <v>0</v>
      </c>
      <c r="AK472">
        <v>0</v>
      </c>
      <c r="AL472">
        <v>0</v>
      </c>
      <c r="AM472">
        <v>0</v>
      </c>
      <c r="AN472">
        <v>0</v>
      </c>
      <c r="AO472">
        <v>0</v>
      </c>
      <c r="AP472">
        <v>0</v>
      </c>
      <c r="AQ472">
        <v>18.03</v>
      </c>
      <c r="AR472">
        <v>0</v>
      </c>
      <c r="AS472">
        <v>0</v>
      </c>
      <c r="AT472">
        <v>0</v>
      </c>
      <c r="AU472">
        <v>0</v>
      </c>
      <c r="AV472">
        <v>0</v>
      </c>
      <c r="AW472">
        <v>0</v>
      </c>
      <c r="AX472">
        <v>0</v>
      </c>
      <c r="AY472">
        <v>0</v>
      </c>
      <c r="AZ472">
        <v>0</v>
      </c>
      <c r="BA472">
        <v>0</v>
      </c>
      <c r="BB472">
        <v>0</v>
      </c>
      <c r="BC472">
        <v>0</v>
      </c>
      <c r="BD472">
        <v>0</v>
      </c>
      <c r="BE472">
        <v>0</v>
      </c>
      <c r="BF472">
        <v>0</v>
      </c>
      <c r="BG472">
        <v>0</v>
      </c>
      <c r="BH472">
        <v>1</v>
      </c>
      <c r="BI472">
        <v>0.1</v>
      </c>
      <c r="BJ472">
        <v>2.1</v>
      </c>
      <c r="BK472">
        <v>3</v>
      </c>
      <c r="BL472">
        <v>55.99</v>
      </c>
      <c r="BM472">
        <v>8.4</v>
      </c>
      <c r="BN472">
        <v>64.39</v>
      </c>
      <c r="BO472">
        <v>64.39</v>
      </c>
      <c r="BR472" t="s">
        <v>84</v>
      </c>
      <c r="BS472" t="s">
        <v>176</v>
      </c>
      <c r="BY472">
        <v>10439.549999999999</v>
      </c>
      <c r="BZ472" t="s">
        <v>102</v>
      </c>
      <c r="CC472" t="s">
        <v>76</v>
      </c>
      <c r="CD472">
        <v>7441</v>
      </c>
      <c r="CE472" t="s">
        <v>116</v>
      </c>
      <c r="CF472" s="3">
        <v>45898</v>
      </c>
      <c r="CI472">
        <v>1</v>
      </c>
      <c r="CJ472" t="s">
        <v>176</v>
      </c>
      <c r="CK472">
        <v>22</v>
      </c>
      <c r="CL472" t="s">
        <v>90</v>
      </c>
    </row>
    <row r="473" spans="1:90" x14ac:dyDescent="0.3">
      <c r="A473" t="s">
        <v>72</v>
      </c>
      <c r="B473" t="s">
        <v>73</v>
      </c>
      <c r="C473" t="s">
        <v>74</v>
      </c>
      <c r="E473" t="str">
        <f>"GAB2028074"</f>
        <v>GAB2028074</v>
      </c>
      <c r="F473" s="3">
        <v>45896</v>
      </c>
      <c r="G473">
        <v>202605</v>
      </c>
      <c r="H473" t="s">
        <v>75</v>
      </c>
      <c r="I473" t="s">
        <v>76</v>
      </c>
      <c r="J473" t="s">
        <v>77</v>
      </c>
      <c r="K473" t="s">
        <v>78</v>
      </c>
      <c r="L473" t="s">
        <v>208</v>
      </c>
      <c r="M473" t="s">
        <v>209</v>
      </c>
      <c r="N473" t="s">
        <v>210</v>
      </c>
      <c r="O473" t="s">
        <v>100</v>
      </c>
      <c r="P473" t="str">
        <f>"INGM00120471 CT096852         "</f>
        <v xml:space="preserve">INGM00120471 CT096852         </v>
      </c>
      <c r="Q473">
        <v>0</v>
      </c>
      <c r="R473">
        <v>0</v>
      </c>
      <c r="S473">
        <v>0</v>
      </c>
      <c r="T473">
        <v>0</v>
      </c>
      <c r="U473">
        <v>0</v>
      </c>
      <c r="V473">
        <v>0</v>
      </c>
      <c r="W473">
        <v>0</v>
      </c>
      <c r="X473">
        <v>0</v>
      </c>
      <c r="Y473">
        <v>0</v>
      </c>
      <c r="Z473">
        <v>0</v>
      </c>
      <c r="AA473">
        <v>0</v>
      </c>
      <c r="AB473">
        <v>0</v>
      </c>
      <c r="AC473">
        <v>0</v>
      </c>
      <c r="AD473">
        <v>0</v>
      </c>
      <c r="AE473">
        <v>0</v>
      </c>
      <c r="AF473">
        <v>0</v>
      </c>
      <c r="AG473">
        <v>0</v>
      </c>
      <c r="AH473">
        <v>0</v>
      </c>
      <c r="AI473">
        <v>0</v>
      </c>
      <c r="AJ473">
        <v>0</v>
      </c>
      <c r="AK473">
        <v>0</v>
      </c>
      <c r="AL473">
        <v>0</v>
      </c>
      <c r="AM473">
        <v>0</v>
      </c>
      <c r="AN473">
        <v>0</v>
      </c>
      <c r="AO473">
        <v>0</v>
      </c>
      <c r="AP473">
        <v>0</v>
      </c>
      <c r="AQ473">
        <v>44.73</v>
      </c>
      <c r="AR473">
        <v>0</v>
      </c>
      <c r="AS473">
        <v>0</v>
      </c>
      <c r="AT473">
        <v>0</v>
      </c>
      <c r="AU473">
        <v>0</v>
      </c>
      <c r="AV473">
        <v>0</v>
      </c>
      <c r="AW473">
        <v>0</v>
      </c>
      <c r="AX473">
        <v>0</v>
      </c>
      <c r="AY473">
        <v>0</v>
      </c>
      <c r="AZ473">
        <v>0</v>
      </c>
      <c r="BA473">
        <v>0</v>
      </c>
      <c r="BB473">
        <v>0</v>
      </c>
      <c r="BC473">
        <v>0</v>
      </c>
      <c r="BD473">
        <v>0</v>
      </c>
      <c r="BE473">
        <v>0</v>
      </c>
      <c r="BF473">
        <v>0</v>
      </c>
      <c r="BG473">
        <v>0</v>
      </c>
      <c r="BH473">
        <v>1</v>
      </c>
      <c r="BI473">
        <v>0.2</v>
      </c>
      <c r="BJ473">
        <v>1.7</v>
      </c>
      <c r="BK473">
        <v>2</v>
      </c>
      <c r="BL473">
        <v>138.88999999999999</v>
      </c>
      <c r="BM473">
        <v>20.83</v>
      </c>
      <c r="BN473">
        <v>159.72</v>
      </c>
      <c r="BO473">
        <v>159.72</v>
      </c>
      <c r="BQ473" t="s">
        <v>211</v>
      </c>
      <c r="BR473" t="s">
        <v>84</v>
      </c>
      <c r="BS473" s="3">
        <v>45897</v>
      </c>
      <c r="BT473" s="4">
        <v>0.39097222222222222</v>
      </c>
      <c r="BU473" t="s">
        <v>610</v>
      </c>
      <c r="BV473" t="s">
        <v>86</v>
      </c>
      <c r="BY473">
        <v>8316</v>
      </c>
      <c r="BZ473" t="s">
        <v>102</v>
      </c>
      <c r="CA473" t="s">
        <v>611</v>
      </c>
      <c r="CC473" t="s">
        <v>209</v>
      </c>
      <c r="CD473">
        <v>9459</v>
      </c>
      <c r="CE473" t="s">
        <v>979</v>
      </c>
      <c r="CI473">
        <v>2</v>
      </c>
      <c r="CJ473">
        <v>1</v>
      </c>
      <c r="CK473">
        <v>23</v>
      </c>
      <c r="CL473" t="s">
        <v>90</v>
      </c>
    </row>
    <row r="474" spans="1:90" x14ac:dyDescent="0.3">
      <c r="A474" t="s">
        <v>72</v>
      </c>
      <c r="B474" t="s">
        <v>73</v>
      </c>
      <c r="C474" t="s">
        <v>74</v>
      </c>
      <c r="E474" t="str">
        <f>"GAB2028075"</f>
        <v>GAB2028075</v>
      </c>
      <c r="F474" s="3">
        <v>45896</v>
      </c>
      <c r="G474">
        <v>202605</v>
      </c>
      <c r="H474" t="s">
        <v>75</v>
      </c>
      <c r="I474" t="s">
        <v>76</v>
      </c>
      <c r="J474" t="s">
        <v>77</v>
      </c>
      <c r="K474" t="s">
        <v>78</v>
      </c>
      <c r="L474" t="s">
        <v>75</v>
      </c>
      <c r="M474" t="s">
        <v>76</v>
      </c>
      <c r="N474" t="s">
        <v>1492</v>
      </c>
      <c r="O474" t="s">
        <v>100</v>
      </c>
      <c r="P474" t="str">
        <f>"INGM00120472 CT096849         "</f>
        <v xml:space="preserve">INGM00120472 CT096849         </v>
      </c>
      <c r="Q474">
        <v>0</v>
      </c>
      <c r="R474">
        <v>0</v>
      </c>
      <c r="S474">
        <v>0</v>
      </c>
      <c r="T474">
        <v>0</v>
      </c>
      <c r="U474">
        <v>0</v>
      </c>
      <c r="V474">
        <v>0</v>
      </c>
      <c r="W474">
        <v>0</v>
      </c>
      <c r="X474">
        <v>0</v>
      </c>
      <c r="Y474">
        <v>0</v>
      </c>
      <c r="Z474">
        <v>0</v>
      </c>
      <c r="AA474">
        <v>0</v>
      </c>
      <c r="AB474">
        <v>0</v>
      </c>
      <c r="AC474">
        <v>0</v>
      </c>
      <c r="AD474">
        <v>0</v>
      </c>
      <c r="AE474">
        <v>0</v>
      </c>
      <c r="AF474">
        <v>0</v>
      </c>
      <c r="AG474">
        <v>0</v>
      </c>
      <c r="AH474">
        <v>0</v>
      </c>
      <c r="AI474">
        <v>0</v>
      </c>
      <c r="AJ474">
        <v>0</v>
      </c>
      <c r="AK474">
        <v>0</v>
      </c>
      <c r="AL474">
        <v>0</v>
      </c>
      <c r="AM474">
        <v>0</v>
      </c>
      <c r="AN474">
        <v>0</v>
      </c>
      <c r="AO474">
        <v>0</v>
      </c>
      <c r="AP474">
        <v>0</v>
      </c>
      <c r="AQ474">
        <v>18.03</v>
      </c>
      <c r="AR474">
        <v>0</v>
      </c>
      <c r="AS474">
        <v>0</v>
      </c>
      <c r="AT474">
        <v>0</v>
      </c>
      <c r="AU474">
        <v>0</v>
      </c>
      <c r="AV474">
        <v>0</v>
      </c>
      <c r="AW474">
        <v>0</v>
      </c>
      <c r="AX474">
        <v>0</v>
      </c>
      <c r="AY474">
        <v>0</v>
      </c>
      <c r="AZ474">
        <v>0</v>
      </c>
      <c r="BA474">
        <v>0</v>
      </c>
      <c r="BB474">
        <v>0</v>
      </c>
      <c r="BC474">
        <v>0</v>
      </c>
      <c r="BD474">
        <v>0</v>
      </c>
      <c r="BE474">
        <v>0</v>
      </c>
      <c r="BF474">
        <v>0</v>
      </c>
      <c r="BG474">
        <v>0</v>
      </c>
      <c r="BH474">
        <v>1</v>
      </c>
      <c r="BI474">
        <v>0.1</v>
      </c>
      <c r="BJ474">
        <v>2</v>
      </c>
      <c r="BK474">
        <v>2</v>
      </c>
      <c r="BL474">
        <v>55.99</v>
      </c>
      <c r="BM474">
        <v>8.4</v>
      </c>
      <c r="BN474">
        <v>64.39</v>
      </c>
      <c r="BO474">
        <v>64.39</v>
      </c>
      <c r="BQ474" t="s">
        <v>1169</v>
      </c>
      <c r="BR474" t="s">
        <v>84</v>
      </c>
      <c r="BS474" s="3">
        <v>45897</v>
      </c>
      <c r="BT474" s="4">
        <v>0.39513888888888887</v>
      </c>
      <c r="BU474" t="s">
        <v>1493</v>
      </c>
      <c r="BV474" t="s">
        <v>86</v>
      </c>
      <c r="BY474">
        <v>9910.4</v>
      </c>
      <c r="BZ474" t="s">
        <v>102</v>
      </c>
      <c r="CA474" t="s">
        <v>1494</v>
      </c>
      <c r="CC474" t="s">
        <v>76</v>
      </c>
      <c r="CD474">
        <v>7560</v>
      </c>
      <c r="CE474" t="s">
        <v>116</v>
      </c>
      <c r="CI474">
        <v>1</v>
      </c>
      <c r="CJ474">
        <v>1</v>
      </c>
      <c r="CK474">
        <v>22</v>
      </c>
      <c r="CL474" t="s">
        <v>90</v>
      </c>
    </row>
    <row r="475" spans="1:90" x14ac:dyDescent="0.3">
      <c r="A475" t="s">
        <v>72</v>
      </c>
      <c r="B475" t="s">
        <v>73</v>
      </c>
      <c r="C475" t="s">
        <v>74</v>
      </c>
      <c r="E475" t="str">
        <f>"GAB2028076"</f>
        <v>GAB2028076</v>
      </c>
      <c r="F475" s="3">
        <v>45896</v>
      </c>
      <c r="G475">
        <v>202605</v>
      </c>
      <c r="H475" t="s">
        <v>75</v>
      </c>
      <c r="I475" t="s">
        <v>76</v>
      </c>
      <c r="J475" t="s">
        <v>77</v>
      </c>
      <c r="K475" t="s">
        <v>78</v>
      </c>
      <c r="L475" t="s">
        <v>996</v>
      </c>
      <c r="M475" t="s">
        <v>997</v>
      </c>
      <c r="N475" t="s">
        <v>998</v>
      </c>
      <c r="O475" t="s">
        <v>100</v>
      </c>
      <c r="P475" t="str">
        <f>"INGM00120473 CT096848         "</f>
        <v xml:space="preserve">INGM00120473 CT096848         </v>
      </c>
      <c r="Q475">
        <v>0</v>
      </c>
      <c r="R475">
        <v>0</v>
      </c>
      <c r="S475">
        <v>0</v>
      </c>
      <c r="T475">
        <v>0</v>
      </c>
      <c r="U475">
        <v>0</v>
      </c>
      <c r="V475">
        <v>0</v>
      </c>
      <c r="W475">
        <v>0</v>
      </c>
      <c r="X475">
        <v>0</v>
      </c>
      <c r="Y475">
        <v>0</v>
      </c>
      <c r="Z475">
        <v>0</v>
      </c>
      <c r="AA475">
        <v>0</v>
      </c>
      <c r="AB475">
        <v>0</v>
      </c>
      <c r="AC475">
        <v>0</v>
      </c>
      <c r="AD475">
        <v>0</v>
      </c>
      <c r="AE475">
        <v>0</v>
      </c>
      <c r="AF475">
        <v>0</v>
      </c>
      <c r="AG475">
        <v>0</v>
      </c>
      <c r="AH475">
        <v>0</v>
      </c>
      <c r="AI475">
        <v>0</v>
      </c>
      <c r="AJ475">
        <v>0</v>
      </c>
      <c r="AK475">
        <v>0</v>
      </c>
      <c r="AL475">
        <v>0</v>
      </c>
      <c r="AM475">
        <v>0</v>
      </c>
      <c r="AN475">
        <v>0</v>
      </c>
      <c r="AO475">
        <v>0</v>
      </c>
      <c r="AP475">
        <v>0</v>
      </c>
      <c r="AQ475">
        <v>28.85</v>
      </c>
      <c r="AR475">
        <v>0</v>
      </c>
      <c r="AS475">
        <v>0</v>
      </c>
      <c r="AT475">
        <v>0</v>
      </c>
      <c r="AU475">
        <v>0</v>
      </c>
      <c r="AV475">
        <v>0</v>
      </c>
      <c r="AW475">
        <v>0</v>
      </c>
      <c r="AX475">
        <v>0</v>
      </c>
      <c r="AY475">
        <v>0</v>
      </c>
      <c r="AZ475">
        <v>0</v>
      </c>
      <c r="BA475">
        <v>0</v>
      </c>
      <c r="BB475">
        <v>0</v>
      </c>
      <c r="BC475">
        <v>0</v>
      </c>
      <c r="BD475">
        <v>0</v>
      </c>
      <c r="BE475">
        <v>0</v>
      </c>
      <c r="BF475">
        <v>0</v>
      </c>
      <c r="BG475">
        <v>0</v>
      </c>
      <c r="BH475">
        <v>1</v>
      </c>
      <c r="BI475">
        <v>0.2</v>
      </c>
      <c r="BJ475">
        <v>2.2999999999999998</v>
      </c>
      <c r="BK475">
        <v>2.5</v>
      </c>
      <c r="BL475">
        <v>89.59</v>
      </c>
      <c r="BM475">
        <v>13.44</v>
      </c>
      <c r="BN475">
        <v>103.03</v>
      </c>
      <c r="BO475">
        <v>103.03</v>
      </c>
      <c r="BQ475" t="s">
        <v>999</v>
      </c>
      <c r="BR475" t="s">
        <v>84</v>
      </c>
      <c r="BS475" s="3">
        <v>45897</v>
      </c>
      <c r="BT475" s="4">
        <v>0.52777777777777779</v>
      </c>
      <c r="BU475" t="s">
        <v>1495</v>
      </c>
      <c r="BV475" t="s">
        <v>86</v>
      </c>
      <c r="BY475">
        <v>11432.19</v>
      </c>
      <c r="BZ475" t="s">
        <v>102</v>
      </c>
      <c r="CA475" t="s">
        <v>1445</v>
      </c>
      <c r="CC475" t="s">
        <v>997</v>
      </c>
      <c r="CD475">
        <v>8301</v>
      </c>
      <c r="CE475" t="s">
        <v>116</v>
      </c>
      <c r="CF475" s="3">
        <v>45897</v>
      </c>
      <c r="CI475">
        <v>2</v>
      </c>
      <c r="CJ475">
        <v>1</v>
      </c>
      <c r="CK475">
        <v>21</v>
      </c>
      <c r="CL475" t="s">
        <v>90</v>
      </c>
    </row>
    <row r="476" spans="1:90" x14ac:dyDescent="0.3">
      <c r="A476" t="s">
        <v>72</v>
      </c>
      <c r="B476" t="s">
        <v>73</v>
      </c>
      <c r="C476" t="s">
        <v>74</v>
      </c>
      <c r="E476" t="str">
        <f>"GAB2028077"</f>
        <v>GAB2028077</v>
      </c>
      <c r="F476" s="3">
        <v>45896</v>
      </c>
      <c r="G476">
        <v>202605</v>
      </c>
      <c r="H476" t="s">
        <v>75</v>
      </c>
      <c r="I476" t="s">
        <v>76</v>
      </c>
      <c r="J476" t="s">
        <v>77</v>
      </c>
      <c r="K476" t="s">
        <v>78</v>
      </c>
      <c r="L476" t="s">
        <v>308</v>
      </c>
      <c r="M476" t="s">
        <v>309</v>
      </c>
      <c r="N476" t="s">
        <v>310</v>
      </c>
      <c r="O476" t="s">
        <v>100</v>
      </c>
      <c r="P476" t="str">
        <f>"INGM00120474 CT096850         "</f>
        <v xml:space="preserve">INGM00120474 CT096850         </v>
      </c>
      <c r="Q476">
        <v>0</v>
      </c>
      <c r="R476">
        <v>0</v>
      </c>
      <c r="S476">
        <v>0</v>
      </c>
      <c r="T476">
        <v>0</v>
      </c>
      <c r="U476">
        <v>0</v>
      </c>
      <c r="V476">
        <v>0</v>
      </c>
      <c r="W476">
        <v>0</v>
      </c>
      <c r="X476">
        <v>0</v>
      </c>
      <c r="Y476">
        <v>0</v>
      </c>
      <c r="Z476">
        <v>0</v>
      </c>
      <c r="AA476">
        <v>0</v>
      </c>
      <c r="AB476">
        <v>0</v>
      </c>
      <c r="AC476">
        <v>0</v>
      </c>
      <c r="AD476">
        <v>0</v>
      </c>
      <c r="AE476">
        <v>0</v>
      </c>
      <c r="AF476">
        <v>0</v>
      </c>
      <c r="AG476">
        <v>0</v>
      </c>
      <c r="AH476">
        <v>0</v>
      </c>
      <c r="AI476">
        <v>0</v>
      </c>
      <c r="AJ476">
        <v>0</v>
      </c>
      <c r="AK476">
        <v>0</v>
      </c>
      <c r="AL476">
        <v>0</v>
      </c>
      <c r="AM476">
        <v>0</v>
      </c>
      <c r="AN476">
        <v>0</v>
      </c>
      <c r="AO476">
        <v>0</v>
      </c>
      <c r="AP476">
        <v>0</v>
      </c>
      <c r="AQ476">
        <v>54.82</v>
      </c>
      <c r="AR476">
        <v>0</v>
      </c>
      <c r="AS476">
        <v>0</v>
      </c>
      <c r="AT476">
        <v>0</v>
      </c>
      <c r="AU476">
        <v>0</v>
      </c>
      <c r="AV476">
        <v>0</v>
      </c>
      <c r="AW476">
        <v>0</v>
      </c>
      <c r="AX476">
        <v>0</v>
      </c>
      <c r="AY476">
        <v>0</v>
      </c>
      <c r="AZ476">
        <v>0</v>
      </c>
      <c r="BA476">
        <v>0</v>
      </c>
      <c r="BB476">
        <v>0</v>
      </c>
      <c r="BC476">
        <v>0</v>
      </c>
      <c r="BD476">
        <v>0</v>
      </c>
      <c r="BE476">
        <v>0</v>
      </c>
      <c r="BF476">
        <v>0</v>
      </c>
      <c r="BG476">
        <v>0</v>
      </c>
      <c r="BH476">
        <v>1</v>
      </c>
      <c r="BI476">
        <v>0.1</v>
      </c>
      <c r="BJ476">
        <v>2.1</v>
      </c>
      <c r="BK476">
        <v>2.5</v>
      </c>
      <c r="BL476">
        <v>170.24</v>
      </c>
      <c r="BM476">
        <v>25.54</v>
      </c>
      <c r="BN476">
        <v>195.78</v>
      </c>
      <c r="BO476">
        <v>195.78</v>
      </c>
      <c r="BQ476" t="s">
        <v>311</v>
      </c>
      <c r="BR476" t="s">
        <v>84</v>
      </c>
      <c r="BS476" s="3">
        <v>45897</v>
      </c>
      <c r="BT476" s="4">
        <v>0.41805555555555557</v>
      </c>
      <c r="BU476" t="s">
        <v>312</v>
      </c>
      <c r="BV476" t="s">
        <v>86</v>
      </c>
      <c r="BY476">
        <v>10411.74</v>
      </c>
      <c r="BZ476" t="s">
        <v>102</v>
      </c>
      <c r="CA476" t="s">
        <v>313</v>
      </c>
      <c r="CC476" t="s">
        <v>309</v>
      </c>
      <c r="CD476" s="5" t="s">
        <v>314</v>
      </c>
      <c r="CE476" t="s">
        <v>116</v>
      </c>
      <c r="CI476">
        <v>2</v>
      </c>
      <c r="CJ476">
        <v>1</v>
      </c>
      <c r="CK476">
        <v>23</v>
      </c>
      <c r="CL476" t="s">
        <v>90</v>
      </c>
    </row>
    <row r="477" spans="1:90" x14ac:dyDescent="0.3">
      <c r="A477" t="s">
        <v>72</v>
      </c>
      <c r="B477" t="s">
        <v>73</v>
      </c>
      <c r="C477" t="s">
        <v>74</v>
      </c>
      <c r="E477" t="str">
        <f>"GAB2028078"</f>
        <v>GAB2028078</v>
      </c>
      <c r="F477" s="3">
        <v>45896</v>
      </c>
      <c r="G477">
        <v>202605</v>
      </c>
      <c r="H477" t="s">
        <v>75</v>
      </c>
      <c r="I477" t="s">
        <v>76</v>
      </c>
      <c r="J477" t="s">
        <v>77</v>
      </c>
      <c r="K477" t="s">
        <v>78</v>
      </c>
      <c r="L477" t="s">
        <v>75</v>
      </c>
      <c r="M477" t="s">
        <v>76</v>
      </c>
      <c r="N477" t="s">
        <v>699</v>
      </c>
      <c r="O477" t="s">
        <v>100</v>
      </c>
      <c r="P477" t="str">
        <f>"INGM00120475 CT096853         "</f>
        <v xml:space="preserve">INGM00120475 CT096853         </v>
      </c>
      <c r="Q477">
        <v>0</v>
      </c>
      <c r="R477">
        <v>0</v>
      </c>
      <c r="S477">
        <v>0</v>
      </c>
      <c r="T477">
        <v>0</v>
      </c>
      <c r="U477">
        <v>0</v>
      </c>
      <c r="V477">
        <v>0</v>
      </c>
      <c r="W477">
        <v>0</v>
      </c>
      <c r="X477">
        <v>0</v>
      </c>
      <c r="Y477">
        <v>0</v>
      </c>
      <c r="Z477">
        <v>0</v>
      </c>
      <c r="AA477">
        <v>0</v>
      </c>
      <c r="AB477">
        <v>0</v>
      </c>
      <c r="AC477">
        <v>0</v>
      </c>
      <c r="AD477">
        <v>0</v>
      </c>
      <c r="AE477">
        <v>0</v>
      </c>
      <c r="AF477">
        <v>0</v>
      </c>
      <c r="AG477">
        <v>0</v>
      </c>
      <c r="AH477">
        <v>0</v>
      </c>
      <c r="AI477">
        <v>0</v>
      </c>
      <c r="AJ477">
        <v>0</v>
      </c>
      <c r="AK477">
        <v>0</v>
      </c>
      <c r="AL477">
        <v>0</v>
      </c>
      <c r="AM477">
        <v>0</v>
      </c>
      <c r="AN477">
        <v>0</v>
      </c>
      <c r="AO477">
        <v>0</v>
      </c>
      <c r="AP477">
        <v>0</v>
      </c>
      <c r="AQ477">
        <v>18.03</v>
      </c>
      <c r="AR477">
        <v>0</v>
      </c>
      <c r="AS477">
        <v>0</v>
      </c>
      <c r="AT477">
        <v>0</v>
      </c>
      <c r="AU477">
        <v>0</v>
      </c>
      <c r="AV477">
        <v>0</v>
      </c>
      <c r="AW477">
        <v>0</v>
      </c>
      <c r="AX477">
        <v>0</v>
      </c>
      <c r="AY477">
        <v>0</v>
      </c>
      <c r="AZ477">
        <v>0</v>
      </c>
      <c r="BA477">
        <v>0</v>
      </c>
      <c r="BB477">
        <v>0</v>
      </c>
      <c r="BC477">
        <v>0</v>
      </c>
      <c r="BD477">
        <v>0</v>
      </c>
      <c r="BE477">
        <v>0</v>
      </c>
      <c r="BF477">
        <v>0</v>
      </c>
      <c r="BG477">
        <v>0</v>
      </c>
      <c r="BH477">
        <v>1</v>
      </c>
      <c r="BI477">
        <v>0.9</v>
      </c>
      <c r="BJ477">
        <v>2.5</v>
      </c>
      <c r="BK477">
        <v>3</v>
      </c>
      <c r="BL477">
        <v>55.99</v>
      </c>
      <c r="BM477">
        <v>8.4</v>
      </c>
      <c r="BN477">
        <v>64.39</v>
      </c>
      <c r="BO477">
        <v>64.39</v>
      </c>
      <c r="BQ477" t="s">
        <v>700</v>
      </c>
      <c r="BR477" t="s">
        <v>84</v>
      </c>
      <c r="BS477" s="3">
        <v>45897</v>
      </c>
      <c r="BT477" s="4">
        <v>0.38263888888888886</v>
      </c>
      <c r="BU477" t="s">
        <v>701</v>
      </c>
      <c r="BV477" t="s">
        <v>86</v>
      </c>
      <c r="BY477">
        <v>12433.33</v>
      </c>
      <c r="BZ477" t="s">
        <v>102</v>
      </c>
      <c r="CA477" t="s">
        <v>702</v>
      </c>
      <c r="CC477" t="s">
        <v>76</v>
      </c>
      <c r="CD477">
        <v>7441</v>
      </c>
      <c r="CE477" t="s">
        <v>733</v>
      </c>
      <c r="CI477">
        <v>1</v>
      </c>
      <c r="CJ477">
        <v>1</v>
      </c>
      <c r="CK477">
        <v>22</v>
      </c>
      <c r="CL477" t="s">
        <v>90</v>
      </c>
    </row>
    <row r="478" spans="1:90" x14ac:dyDescent="0.3">
      <c r="A478" t="s">
        <v>72</v>
      </c>
      <c r="B478" t="s">
        <v>73</v>
      </c>
      <c r="C478" t="s">
        <v>74</v>
      </c>
      <c r="E478" t="str">
        <f>"GAB2028079"</f>
        <v>GAB2028079</v>
      </c>
      <c r="F478" s="3">
        <v>45896</v>
      </c>
      <c r="G478">
        <v>202605</v>
      </c>
      <c r="H478" t="s">
        <v>75</v>
      </c>
      <c r="I478" t="s">
        <v>76</v>
      </c>
      <c r="J478" t="s">
        <v>77</v>
      </c>
      <c r="K478" t="s">
        <v>78</v>
      </c>
      <c r="L478" t="s">
        <v>415</v>
      </c>
      <c r="M478" t="s">
        <v>416</v>
      </c>
      <c r="N478" t="s">
        <v>451</v>
      </c>
      <c r="O478" t="s">
        <v>100</v>
      </c>
      <c r="P478" t="str">
        <f>"INGS00038887 ORDGS035839      "</f>
        <v xml:space="preserve">INGS00038887 ORDGS035839      </v>
      </c>
      <c r="Q478">
        <v>0</v>
      </c>
      <c r="R478">
        <v>0</v>
      </c>
      <c r="S478">
        <v>0</v>
      </c>
      <c r="T478">
        <v>0</v>
      </c>
      <c r="U478">
        <v>0</v>
      </c>
      <c r="V478">
        <v>0</v>
      </c>
      <c r="W478">
        <v>0</v>
      </c>
      <c r="X478">
        <v>0</v>
      </c>
      <c r="Y478">
        <v>0</v>
      </c>
      <c r="Z478">
        <v>0</v>
      </c>
      <c r="AA478">
        <v>0</v>
      </c>
      <c r="AB478">
        <v>0</v>
      </c>
      <c r="AC478">
        <v>0</v>
      </c>
      <c r="AD478">
        <v>0</v>
      </c>
      <c r="AE478">
        <v>0</v>
      </c>
      <c r="AF478">
        <v>0</v>
      </c>
      <c r="AG478">
        <v>0</v>
      </c>
      <c r="AH478">
        <v>0</v>
      </c>
      <c r="AI478">
        <v>0</v>
      </c>
      <c r="AJ478">
        <v>0</v>
      </c>
      <c r="AK478">
        <v>0</v>
      </c>
      <c r="AL478">
        <v>0</v>
      </c>
      <c r="AM478">
        <v>0</v>
      </c>
      <c r="AN478">
        <v>0</v>
      </c>
      <c r="AO478">
        <v>0</v>
      </c>
      <c r="AP478">
        <v>0</v>
      </c>
      <c r="AQ478">
        <v>28.85</v>
      </c>
      <c r="AR478">
        <v>0</v>
      </c>
      <c r="AS478">
        <v>0</v>
      </c>
      <c r="AT478">
        <v>0</v>
      </c>
      <c r="AU478">
        <v>0</v>
      </c>
      <c r="AV478">
        <v>0</v>
      </c>
      <c r="AW478">
        <v>0</v>
      </c>
      <c r="AX478">
        <v>0</v>
      </c>
      <c r="AY478">
        <v>0</v>
      </c>
      <c r="AZ478">
        <v>0</v>
      </c>
      <c r="BA478">
        <v>0</v>
      </c>
      <c r="BB478">
        <v>0</v>
      </c>
      <c r="BC478">
        <v>0</v>
      </c>
      <c r="BD478">
        <v>0</v>
      </c>
      <c r="BE478">
        <v>0</v>
      </c>
      <c r="BF478">
        <v>0</v>
      </c>
      <c r="BG478">
        <v>0</v>
      </c>
      <c r="BH478">
        <v>1</v>
      </c>
      <c r="BI478">
        <v>0.4</v>
      </c>
      <c r="BJ478">
        <v>2.5</v>
      </c>
      <c r="BK478">
        <v>2.5</v>
      </c>
      <c r="BL478">
        <v>89.59</v>
      </c>
      <c r="BM478">
        <v>13.44</v>
      </c>
      <c r="BN478">
        <v>103.03</v>
      </c>
      <c r="BO478">
        <v>103.03</v>
      </c>
      <c r="BQ478" t="s">
        <v>452</v>
      </c>
      <c r="BR478" t="s">
        <v>84</v>
      </c>
      <c r="BS478" s="3">
        <v>45897</v>
      </c>
      <c r="BT478" s="4">
        <v>0.3263888888888889</v>
      </c>
      <c r="BU478" t="s">
        <v>675</v>
      </c>
      <c r="BV478" t="s">
        <v>86</v>
      </c>
      <c r="BY478">
        <v>12268.2</v>
      </c>
      <c r="BZ478" t="s">
        <v>102</v>
      </c>
      <c r="CA478" t="s">
        <v>676</v>
      </c>
      <c r="CC478" t="s">
        <v>416</v>
      </c>
      <c r="CD478">
        <v>2191</v>
      </c>
      <c r="CE478" t="s">
        <v>544</v>
      </c>
      <c r="CF478" s="3">
        <v>45898</v>
      </c>
      <c r="CI478">
        <v>1</v>
      </c>
      <c r="CJ478">
        <v>1</v>
      </c>
      <c r="CK478">
        <v>21</v>
      </c>
      <c r="CL478" t="s">
        <v>90</v>
      </c>
    </row>
    <row r="479" spans="1:90" x14ac:dyDescent="0.3">
      <c r="A479" t="s">
        <v>72</v>
      </c>
      <c r="B479" t="s">
        <v>73</v>
      </c>
      <c r="C479" t="s">
        <v>74</v>
      </c>
      <c r="E479" t="str">
        <f>"GAB2028080"</f>
        <v>GAB2028080</v>
      </c>
      <c r="F479" s="3">
        <v>45896</v>
      </c>
      <c r="G479">
        <v>202605</v>
      </c>
      <c r="H479" t="s">
        <v>75</v>
      </c>
      <c r="I479" t="s">
        <v>76</v>
      </c>
      <c r="J479" t="s">
        <v>77</v>
      </c>
      <c r="K479" t="s">
        <v>78</v>
      </c>
      <c r="L479" t="s">
        <v>518</v>
      </c>
      <c r="M479" t="s">
        <v>519</v>
      </c>
      <c r="N479" t="s">
        <v>590</v>
      </c>
      <c r="O479" t="s">
        <v>100</v>
      </c>
      <c r="P479" t="str">
        <f>"INGM00120452 CT096838         "</f>
        <v xml:space="preserve">INGM00120452 CT096838         </v>
      </c>
      <c r="Q479">
        <v>0</v>
      </c>
      <c r="R479">
        <v>0</v>
      </c>
      <c r="S479">
        <v>0</v>
      </c>
      <c r="T479">
        <v>0</v>
      </c>
      <c r="U479">
        <v>0</v>
      </c>
      <c r="V479">
        <v>0</v>
      </c>
      <c r="W479">
        <v>0</v>
      </c>
      <c r="X479">
        <v>0</v>
      </c>
      <c r="Y479">
        <v>0</v>
      </c>
      <c r="Z479">
        <v>0</v>
      </c>
      <c r="AA479">
        <v>0</v>
      </c>
      <c r="AB479">
        <v>0</v>
      </c>
      <c r="AC479">
        <v>0</v>
      </c>
      <c r="AD479">
        <v>0</v>
      </c>
      <c r="AE479">
        <v>0</v>
      </c>
      <c r="AF479">
        <v>0</v>
      </c>
      <c r="AG479">
        <v>0</v>
      </c>
      <c r="AH479">
        <v>0</v>
      </c>
      <c r="AI479">
        <v>0</v>
      </c>
      <c r="AJ479">
        <v>0</v>
      </c>
      <c r="AK479">
        <v>0</v>
      </c>
      <c r="AL479">
        <v>0</v>
      </c>
      <c r="AM479">
        <v>0</v>
      </c>
      <c r="AN479">
        <v>0</v>
      </c>
      <c r="AO479">
        <v>0</v>
      </c>
      <c r="AP479">
        <v>0</v>
      </c>
      <c r="AQ479">
        <v>23.09</v>
      </c>
      <c r="AR479">
        <v>0</v>
      </c>
      <c r="AS479">
        <v>0</v>
      </c>
      <c r="AT479">
        <v>0</v>
      </c>
      <c r="AU479">
        <v>0</v>
      </c>
      <c r="AV479">
        <v>0</v>
      </c>
      <c r="AW479">
        <v>0</v>
      </c>
      <c r="AX479">
        <v>0</v>
      </c>
      <c r="AY479">
        <v>0</v>
      </c>
      <c r="AZ479">
        <v>0</v>
      </c>
      <c r="BA479">
        <v>0</v>
      </c>
      <c r="BB479">
        <v>0</v>
      </c>
      <c r="BC479">
        <v>0</v>
      </c>
      <c r="BD479">
        <v>0</v>
      </c>
      <c r="BE479">
        <v>0</v>
      </c>
      <c r="BF479">
        <v>0</v>
      </c>
      <c r="BG479">
        <v>0</v>
      </c>
      <c r="BH479">
        <v>1</v>
      </c>
      <c r="BI479">
        <v>0.8</v>
      </c>
      <c r="BJ479">
        <v>1.9</v>
      </c>
      <c r="BK479">
        <v>2</v>
      </c>
      <c r="BL479">
        <v>71.69</v>
      </c>
      <c r="BM479">
        <v>10.75</v>
      </c>
      <c r="BN479">
        <v>82.44</v>
      </c>
      <c r="BO479">
        <v>82.44</v>
      </c>
      <c r="BR479" t="s">
        <v>84</v>
      </c>
      <c r="BS479" s="3">
        <v>45897</v>
      </c>
      <c r="BT479" s="4">
        <v>0.46041666666666664</v>
      </c>
      <c r="BU479" t="s">
        <v>1496</v>
      </c>
      <c r="BV479" t="s">
        <v>90</v>
      </c>
      <c r="BY479">
        <v>9543.6</v>
      </c>
      <c r="BZ479" t="s">
        <v>102</v>
      </c>
      <c r="CA479" t="s">
        <v>1497</v>
      </c>
      <c r="CC479" t="s">
        <v>519</v>
      </c>
      <c r="CD479">
        <v>5200</v>
      </c>
      <c r="CE479" t="s">
        <v>873</v>
      </c>
      <c r="CI479">
        <v>1</v>
      </c>
      <c r="CJ479">
        <v>1</v>
      </c>
      <c r="CK479">
        <v>21</v>
      </c>
      <c r="CL479" t="s">
        <v>90</v>
      </c>
    </row>
    <row r="480" spans="1:90" x14ac:dyDescent="0.3">
      <c r="A480" t="s">
        <v>72</v>
      </c>
      <c r="B480" t="s">
        <v>73</v>
      </c>
      <c r="C480" t="s">
        <v>74</v>
      </c>
      <c r="E480" t="str">
        <f>"GAB2028081"</f>
        <v>GAB2028081</v>
      </c>
      <c r="F480" s="3">
        <v>45896</v>
      </c>
      <c r="G480">
        <v>202605</v>
      </c>
      <c r="H480" t="s">
        <v>75</v>
      </c>
      <c r="I480" t="s">
        <v>76</v>
      </c>
      <c r="J480" t="s">
        <v>77</v>
      </c>
      <c r="K480" t="s">
        <v>78</v>
      </c>
      <c r="L480" t="s">
        <v>201</v>
      </c>
      <c r="M480" t="s">
        <v>202</v>
      </c>
      <c r="N480" t="s">
        <v>1498</v>
      </c>
      <c r="O480" t="s">
        <v>100</v>
      </c>
      <c r="P480" t="str">
        <f>"INGM00120451 CT096840         "</f>
        <v xml:space="preserve">INGM00120451 CT096840         </v>
      </c>
      <c r="Q480">
        <v>0</v>
      </c>
      <c r="R480">
        <v>0</v>
      </c>
      <c r="S480">
        <v>0</v>
      </c>
      <c r="T480">
        <v>0</v>
      </c>
      <c r="U480">
        <v>0</v>
      </c>
      <c r="V480">
        <v>0</v>
      </c>
      <c r="W480">
        <v>0</v>
      </c>
      <c r="X480">
        <v>0</v>
      </c>
      <c r="Y480">
        <v>0</v>
      </c>
      <c r="Z480">
        <v>0</v>
      </c>
      <c r="AA480">
        <v>0</v>
      </c>
      <c r="AB480">
        <v>0</v>
      </c>
      <c r="AC480">
        <v>0</v>
      </c>
      <c r="AD480">
        <v>0</v>
      </c>
      <c r="AE480">
        <v>0</v>
      </c>
      <c r="AF480">
        <v>0</v>
      </c>
      <c r="AG480">
        <v>0</v>
      </c>
      <c r="AH480">
        <v>0</v>
      </c>
      <c r="AI480">
        <v>0</v>
      </c>
      <c r="AJ480">
        <v>0</v>
      </c>
      <c r="AK480">
        <v>0</v>
      </c>
      <c r="AL480">
        <v>0</v>
      </c>
      <c r="AM480">
        <v>0</v>
      </c>
      <c r="AN480">
        <v>0</v>
      </c>
      <c r="AO480">
        <v>0</v>
      </c>
      <c r="AP480">
        <v>0</v>
      </c>
      <c r="AQ480">
        <v>54.82</v>
      </c>
      <c r="AR480">
        <v>0</v>
      </c>
      <c r="AS480">
        <v>0</v>
      </c>
      <c r="AT480">
        <v>0</v>
      </c>
      <c r="AU480">
        <v>0</v>
      </c>
      <c r="AV480">
        <v>0</v>
      </c>
      <c r="AW480">
        <v>0</v>
      </c>
      <c r="AX480">
        <v>0</v>
      </c>
      <c r="AY480">
        <v>0</v>
      </c>
      <c r="AZ480">
        <v>0</v>
      </c>
      <c r="BA480">
        <v>0</v>
      </c>
      <c r="BB480">
        <v>0</v>
      </c>
      <c r="BC480">
        <v>0</v>
      </c>
      <c r="BD480">
        <v>0</v>
      </c>
      <c r="BE480">
        <v>0</v>
      </c>
      <c r="BF480">
        <v>0</v>
      </c>
      <c r="BG480">
        <v>0</v>
      </c>
      <c r="BH480">
        <v>1</v>
      </c>
      <c r="BI480">
        <v>0.1</v>
      </c>
      <c r="BJ480">
        <v>2.2999999999999998</v>
      </c>
      <c r="BK480">
        <v>2.5</v>
      </c>
      <c r="BL480">
        <v>170.24</v>
      </c>
      <c r="BM480">
        <v>25.54</v>
      </c>
      <c r="BN480">
        <v>195.78</v>
      </c>
      <c r="BO480">
        <v>195.78</v>
      </c>
      <c r="BQ480" t="s">
        <v>1499</v>
      </c>
      <c r="BR480" t="s">
        <v>84</v>
      </c>
      <c r="BS480" t="s">
        <v>176</v>
      </c>
      <c r="BY480">
        <v>11501.82</v>
      </c>
      <c r="BZ480" t="s">
        <v>102</v>
      </c>
      <c r="CC480" t="s">
        <v>202</v>
      </c>
      <c r="CD480" s="5" t="s">
        <v>1500</v>
      </c>
      <c r="CE480" t="s">
        <v>1501</v>
      </c>
      <c r="CI480">
        <v>2</v>
      </c>
      <c r="CJ480" t="s">
        <v>176</v>
      </c>
      <c r="CK480">
        <v>23</v>
      </c>
      <c r="CL480" t="s">
        <v>90</v>
      </c>
    </row>
    <row r="481" spans="1:90" x14ac:dyDescent="0.3">
      <c r="A481" t="s">
        <v>72</v>
      </c>
      <c r="B481" t="s">
        <v>73</v>
      </c>
      <c r="C481" t="s">
        <v>74</v>
      </c>
      <c r="E481" t="str">
        <f>"GAB2028082"</f>
        <v>GAB2028082</v>
      </c>
      <c r="F481" s="3">
        <v>45896</v>
      </c>
      <c r="G481">
        <v>202605</v>
      </c>
      <c r="H481" t="s">
        <v>75</v>
      </c>
      <c r="I481" t="s">
        <v>76</v>
      </c>
      <c r="J481" t="s">
        <v>77</v>
      </c>
      <c r="K481" t="s">
        <v>78</v>
      </c>
      <c r="L481" t="s">
        <v>79</v>
      </c>
      <c r="M481" t="s">
        <v>80</v>
      </c>
      <c r="N481" t="s">
        <v>826</v>
      </c>
      <c r="O481" t="s">
        <v>100</v>
      </c>
      <c r="P481" t="str">
        <f>"INGS00038880 ORDGS035834      "</f>
        <v xml:space="preserve">INGS00038880 ORDGS035834      </v>
      </c>
      <c r="Q481">
        <v>0</v>
      </c>
      <c r="R481">
        <v>0</v>
      </c>
      <c r="S481">
        <v>0</v>
      </c>
      <c r="T481">
        <v>0</v>
      </c>
      <c r="U481">
        <v>0</v>
      </c>
      <c r="V481">
        <v>0</v>
      </c>
      <c r="W481">
        <v>0</v>
      </c>
      <c r="X481">
        <v>0</v>
      </c>
      <c r="Y481">
        <v>0</v>
      </c>
      <c r="Z481">
        <v>0</v>
      </c>
      <c r="AA481">
        <v>0</v>
      </c>
      <c r="AB481">
        <v>0</v>
      </c>
      <c r="AC481">
        <v>0</v>
      </c>
      <c r="AD481">
        <v>0</v>
      </c>
      <c r="AE481">
        <v>0</v>
      </c>
      <c r="AF481">
        <v>0</v>
      </c>
      <c r="AG481">
        <v>0</v>
      </c>
      <c r="AH481">
        <v>0</v>
      </c>
      <c r="AI481">
        <v>0</v>
      </c>
      <c r="AJ481">
        <v>0</v>
      </c>
      <c r="AK481">
        <v>0</v>
      </c>
      <c r="AL481">
        <v>0</v>
      </c>
      <c r="AM481">
        <v>0</v>
      </c>
      <c r="AN481">
        <v>0</v>
      </c>
      <c r="AO481">
        <v>0</v>
      </c>
      <c r="AP481">
        <v>0</v>
      </c>
      <c r="AQ481">
        <v>34.619999999999997</v>
      </c>
      <c r="AR481">
        <v>0</v>
      </c>
      <c r="AS481">
        <v>0</v>
      </c>
      <c r="AT481">
        <v>0</v>
      </c>
      <c r="AU481">
        <v>0</v>
      </c>
      <c r="AV481">
        <v>0</v>
      </c>
      <c r="AW481">
        <v>0</v>
      </c>
      <c r="AX481">
        <v>0</v>
      </c>
      <c r="AY481">
        <v>0</v>
      </c>
      <c r="AZ481">
        <v>0</v>
      </c>
      <c r="BA481">
        <v>0</v>
      </c>
      <c r="BB481">
        <v>0</v>
      </c>
      <c r="BC481">
        <v>0</v>
      </c>
      <c r="BD481">
        <v>0</v>
      </c>
      <c r="BE481">
        <v>0</v>
      </c>
      <c r="BF481">
        <v>0</v>
      </c>
      <c r="BG481">
        <v>0</v>
      </c>
      <c r="BH481">
        <v>1</v>
      </c>
      <c r="BI481">
        <v>0.2</v>
      </c>
      <c r="BJ481">
        <v>2.8</v>
      </c>
      <c r="BK481">
        <v>3</v>
      </c>
      <c r="BL481">
        <v>107.5</v>
      </c>
      <c r="BM481">
        <v>16.13</v>
      </c>
      <c r="BN481">
        <v>123.63</v>
      </c>
      <c r="BO481">
        <v>123.63</v>
      </c>
      <c r="BQ481" t="s">
        <v>1502</v>
      </c>
      <c r="BR481" t="s">
        <v>84</v>
      </c>
      <c r="BS481" s="3">
        <v>45897</v>
      </c>
      <c r="BT481" s="4">
        <v>0.32430555555555557</v>
      </c>
      <c r="BU481" t="s">
        <v>951</v>
      </c>
      <c r="BV481" t="s">
        <v>86</v>
      </c>
      <c r="BY481">
        <v>14118.8</v>
      </c>
      <c r="BZ481" t="s">
        <v>102</v>
      </c>
      <c r="CA481" t="s">
        <v>289</v>
      </c>
      <c r="CC481" t="s">
        <v>80</v>
      </c>
      <c r="CD481" s="5" t="s">
        <v>88</v>
      </c>
      <c r="CE481" t="s">
        <v>1503</v>
      </c>
      <c r="CF481" s="3">
        <v>45897</v>
      </c>
      <c r="CI481">
        <v>1</v>
      </c>
      <c r="CJ481">
        <v>1</v>
      </c>
      <c r="CK481">
        <v>21</v>
      </c>
      <c r="CL481" t="s">
        <v>90</v>
      </c>
    </row>
    <row r="482" spans="1:90" x14ac:dyDescent="0.3">
      <c r="A482" t="s">
        <v>72</v>
      </c>
      <c r="B482" t="s">
        <v>73</v>
      </c>
      <c r="C482" t="s">
        <v>74</v>
      </c>
      <c r="E482" t="str">
        <f>"GAB2028086"</f>
        <v>GAB2028086</v>
      </c>
      <c r="F482" s="3">
        <v>45896</v>
      </c>
      <c r="G482">
        <v>202605</v>
      </c>
      <c r="H482" t="s">
        <v>75</v>
      </c>
      <c r="I482" t="s">
        <v>76</v>
      </c>
      <c r="J482" t="s">
        <v>77</v>
      </c>
      <c r="K482" t="s">
        <v>78</v>
      </c>
      <c r="L482" t="s">
        <v>922</v>
      </c>
      <c r="M482" t="s">
        <v>923</v>
      </c>
      <c r="N482" t="s">
        <v>1504</v>
      </c>
      <c r="O482" t="s">
        <v>100</v>
      </c>
      <c r="P482" t="str">
        <f>"INVOICE INGS00038885 ORDGS0358"</f>
        <v>INVOICE INGS00038885 ORDGS0358</v>
      </c>
      <c r="Q482">
        <v>0</v>
      </c>
      <c r="R482">
        <v>0</v>
      </c>
      <c r="S482">
        <v>0</v>
      </c>
      <c r="T482">
        <v>0</v>
      </c>
      <c r="U482">
        <v>0</v>
      </c>
      <c r="V482">
        <v>0</v>
      </c>
      <c r="W482">
        <v>0</v>
      </c>
      <c r="X482">
        <v>0</v>
      </c>
      <c r="Y482">
        <v>0</v>
      </c>
      <c r="Z482">
        <v>0</v>
      </c>
      <c r="AA482">
        <v>0</v>
      </c>
      <c r="AB482">
        <v>0</v>
      </c>
      <c r="AC482">
        <v>0</v>
      </c>
      <c r="AD482">
        <v>0</v>
      </c>
      <c r="AE482">
        <v>0</v>
      </c>
      <c r="AF482">
        <v>0</v>
      </c>
      <c r="AG482">
        <v>0</v>
      </c>
      <c r="AH482">
        <v>0</v>
      </c>
      <c r="AI482">
        <v>0</v>
      </c>
      <c r="AJ482">
        <v>0</v>
      </c>
      <c r="AK482">
        <v>0</v>
      </c>
      <c r="AL482">
        <v>0</v>
      </c>
      <c r="AM482">
        <v>0</v>
      </c>
      <c r="AN482">
        <v>0</v>
      </c>
      <c r="AO482">
        <v>0</v>
      </c>
      <c r="AP482">
        <v>0</v>
      </c>
      <c r="AQ482">
        <v>28.85</v>
      </c>
      <c r="AR482">
        <v>0</v>
      </c>
      <c r="AS482">
        <v>0</v>
      </c>
      <c r="AT482">
        <v>0</v>
      </c>
      <c r="AU482">
        <v>0</v>
      </c>
      <c r="AV482">
        <v>0</v>
      </c>
      <c r="AW482">
        <v>0</v>
      </c>
      <c r="AX482">
        <v>0</v>
      </c>
      <c r="AY482">
        <v>0</v>
      </c>
      <c r="AZ482">
        <v>0</v>
      </c>
      <c r="BA482">
        <v>0</v>
      </c>
      <c r="BB482">
        <v>0</v>
      </c>
      <c r="BC482">
        <v>0</v>
      </c>
      <c r="BD482">
        <v>0</v>
      </c>
      <c r="BE482">
        <v>0</v>
      </c>
      <c r="BF482">
        <v>0</v>
      </c>
      <c r="BG482">
        <v>0</v>
      </c>
      <c r="BH482">
        <v>1</v>
      </c>
      <c r="BI482">
        <v>0.3</v>
      </c>
      <c r="BJ482">
        <v>2.2000000000000002</v>
      </c>
      <c r="BK482">
        <v>2.5</v>
      </c>
      <c r="BL482">
        <v>89.59</v>
      </c>
      <c r="BM482">
        <v>13.44</v>
      </c>
      <c r="BN482">
        <v>103.03</v>
      </c>
      <c r="BO482">
        <v>103.03</v>
      </c>
      <c r="BQ482" t="s">
        <v>1505</v>
      </c>
      <c r="BR482" t="s">
        <v>84</v>
      </c>
      <c r="BS482" s="3">
        <v>45897</v>
      </c>
      <c r="BT482" s="4">
        <v>0.43055555555555558</v>
      </c>
      <c r="BU482" t="s">
        <v>1506</v>
      </c>
      <c r="BV482" t="s">
        <v>86</v>
      </c>
      <c r="BY482">
        <v>11044.6</v>
      </c>
      <c r="BZ482" t="s">
        <v>102</v>
      </c>
      <c r="CA482" t="s">
        <v>1507</v>
      </c>
      <c r="CC482" t="s">
        <v>923</v>
      </c>
      <c r="CD482">
        <v>1560</v>
      </c>
      <c r="CE482" t="s">
        <v>797</v>
      </c>
      <c r="CF482" s="3">
        <v>45897</v>
      </c>
      <c r="CI482">
        <v>1</v>
      </c>
      <c r="CJ482">
        <v>1</v>
      </c>
      <c r="CK482">
        <v>21</v>
      </c>
      <c r="CL482" t="s">
        <v>90</v>
      </c>
    </row>
    <row r="483" spans="1:90" x14ac:dyDescent="0.3">
      <c r="A483" t="s">
        <v>72</v>
      </c>
      <c r="B483" t="s">
        <v>73</v>
      </c>
      <c r="C483" t="s">
        <v>74</v>
      </c>
      <c r="E483" t="str">
        <f>"GAB2028087"</f>
        <v>GAB2028087</v>
      </c>
      <c r="F483" s="3">
        <v>45896</v>
      </c>
      <c r="G483">
        <v>202605</v>
      </c>
      <c r="H483" t="s">
        <v>75</v>
      </c>
      <c r="I483" t="s">
        <v>76</v>
      </c>
      <c r="J483" t="s">
        <v>77</v>
      </c>
      <c r="K483" t="s">
        <v>78</v>
      </c>
      <c r="L483" t="s">
        <v>415</v>
      </c>
      <c r="M483" t="s">
        <v>416</v>
      </c>
      <c r="N483" t="s">
        <v>677</v>
      </c>
      <c r="O483" t="s">
        <v>100</v>
      </c>
      <c r="P483" t="str">
        <f>"INGS00038884 ORDGS035830      "</f>
        <v xml:space="preserve">INGS00038884 ORDGS035830      </v>
      </c>
      <c r="Q483">
        <v>0</v>
      </c>
      <c r="R483">
        <v>0</v>
      </c>
      <c r="S483">
        <v>0</v>
      </c>
      <c r="T483">
        <v>0</v>
      </c>
      <c r="U483">
        <v>0</v>
      </c>
      <c r="V483">
        <v>0</v>
      </c>
      <c r="W483">
        <v>0</v>
      </c>
      <c r="X483">
        <v>0</v>
      </c>
      <c r="Y483">
        <v>0</v>
      </c>
      <c r="Z483">
        <v>0</v>
      </c>
      <c r="AA483">
        <v>0</v>
      </c>
      <c r="AB483">
        <v>0</v>
      </c>
      <c r="AC483">
        <v>0</v>
      </c>
      <c r="AD483">
        <v>0</v>
      </c>
      <c r="AE483">
        <v>0</v>
      </c>
      <c r="AF483">
        <v>0</v>
      </c>
      <c r="AG483">
        <v>0</v>
      </c>
      <c r="AH483">
        <v>0</v>
      </c>
      <c r="AI483">
        <v>0</v>
      </c>
      <c r="AJ483">
        <v>0</v>
      </c>
      <c r="AK483">
        <v>0</v>
      </c>
      <c r="AL483">
        <v>0</v>
      </c>
      <c r="AM483">
        <v>0</v>
      </c>
      <c r="AN483">
        <v>0</v>
      </c>
      <c r="AO483">
        <v>0</v>
      </c>
      <c r="AP483">
        <v>0</v>
      </c>
      <c r="AQ483">
        <v>28.85</v>
      </c>
      <c r="AR483">
        <v>0</v>
      </c>
      <c r="AS483">
        <v>0</v>
      </c>
      <c r="AT483">
        <v>0</v>
      </c>
      <c r="AU483">
        <v>0</v>
      </c>
      <c r="AV483">
        <v>0</v>
      </c>
      <c r="AW483">
        <v>0</v>
      </c>
      <c r="AX483">
        <v>0</v>
      </c>
      <c r="AY483">
        <v>0</v>
      </c>
      <c r="AZ483">
        <v>0</v>
      </c>
      <c r="BA483">
        <v>0</v>
      </c>
      <c r="BB483">
        <v>0</v>
      </c>
      <c r="BC483">
        <v>0</v>
      </c>
      <c r="BD483">
        <v>0</v>
      </c>
      <c r="BE483">
        <v>0</v>
      </c>
      <c r="BF483">
        <v>0</v>
      </c>
      <c r="BG483">
        <v>0</v>
      </c>
      <c r="BH483">
        <v>1</v>
      </c>
      <c r="BI483">
        <v>0.3</v>
      </c>
      <c r="BJ483">
        <v>2.2000000000000002</v>
      </c>
      <c r="BK483">
        <v>2.5</v>
      </c>
      <c r="BL483">
        <v>89.59</v>
      </c>
      <c r="BM483">
        <v>13.44</v>
      </c>
      <c r="BN483">
        <v>103.03</v>
      </c>
      <c r="BO483">
        <v>103.03</v>
      </c>
      <c r="BQ483" t="s">
        <v>1508</v>
      </c>
      <c r="BR483" t="s">
        <v>84</v>
      </c>
      <c r="BS483" s="3">
        <v>45897</v>
      </c>
      <c r="BT483" s="4">
        <v>0.32777777777777778</v>
      </c>
      <c r="BU483" t="s">
        <v>1271</v>
      </c>
      <c r="BV483" t="s">
        <v>86</v>
      </c>
      <c r="BY483">
        <v>10930.36</v>
      </c>
      <c r="BZ483" t="s">
        <v>102</v>
      </c>
      <c r="CA483" t="s">
        <v>1272</v>
      </c>
      <c r="CC483" t="s">
        <v>416</v>
      </c>
      <c r="CD483">
        <v>2191</v>
      </c>
      <c r="CE483" t="s">
        <v>1509</v>
      </c>
      <c r="CF483" s="3">
        <v>45897</v>
      </c>
      <c r="CI483">
        <v>1</v>
      </c>
      <c r="CJ483">
        <v>1</v>
      </c>
      <c r="CK483">
        <v>21</v>
      </c>
      <c r="CL483" t="s">
        <v>90</v>
      </c>
    </row>
    <row r="484" spans="1:90" x14ac:dyDescent="0.3">
      <c r="A484" t="s">
        <v>72</v>
      </c>
      <c r="B484" t="s">
        <v>73</v>
      </c>
      <c r="C484" t="s">
        <v>74</v>
      </c>
      <c r="E484" t="str">
        <f>"GAB2028088"</f>
        <v>GAB2028088</v>
      </c>
      <c r="F484" s="3">
        <v>45896</v>
      </c>
      <c r="G484">
        <v>202605</v>
      </c>
      <c r="H484" t="s">
        <v>75</v>
      </c>
      <c r="I484" t="s">
        <v>76</v>
      </c>
      <c r="J484" t="s">
        <v>77</v>
      </c>
      <c r="K484" t="s">
        <v>78</v>
      </c>
      <c r="L484" t="s">
        <v>148</v>
      </c>
      <c r="M484" t="s">
        <v>149</v>
      </c>
      <c r="N484" t="s">
        <v>1510</v>
      </c>
      <c r="O484" t="s">
        <v>100</v>
      </c>
      <c r="P484" t="str">
        <f>"INGS00038883 ORDGS035813      "</f>
        <v xml:space="preserve">INGS00038883 ORDGS035813      </v>
      </c>
      <c r="Q484">
        <v>0</v>
      </c>
      <c r="R484">
        <v>0</v>
      </c>
      <c r="S484">
        <v>0</v>
      </c>
      <c r="T484">
        <v>0</v>
      </c>
      <c r="U484">
        <v>0</v>
      </c>
      <c r="V484">
        <v>0</v>
      </c>
      <c r="W484">
        <v>0</v>
      </c>
      <c r="X484">
        <v>0</v>
      </c>
      <c r="Y484">
        <v>0</v>
      </c>
      <c r="Z484">
        <v>0</v>
      </c>
      <c r="AA484">
        <v>0</v>
      </c>
      <c r="AB484">
        <v>0</v>
      </c>
      <c r="AC484">
        <v>0</v>
      </c>
      <c r="AD484">
        <v>0</v>
      </c>
      <c r="AE484">
        <v>0</v>
      </c>
      <c r="AF484">
        <v>0</v>
      </c>
      <c r="AG484">
        <v>0</v>
      </c>
      <c r="AH484">
        <v>0</v>
      </c>
      <c r="AI484">
        <v>0</v>
      </c>
      <c r="AJ484">
        <v>0</v>
      </c>
      <c r="AK484">
        <v>0</v>
      </c>
      <c r="AL484">
        <v>0</v>
      </c>
      <c r="AM484">
        <v>0</v>
      </c>
      <c r="AN484">
        <v>0</v>
      </c>
      <c r="AO484">
        <v>0</v>
      </c>
      <c r="AP484">
        <v>0</v>
      </c>
      <c r="AQ484">
        <v>28.85</v>
      </c>
      <c r="AR484">
        <v>0</v>
      </c>
      <c r="AS484">
        <v>0</v>
      </c>
      <c r="AT484">
        <v>0</v>
      </c>
      <c r="AU484">
        <v>0</v>
      </c>
      <c r="AV484">
        <v>0</v>
      </c>
      <c r="AW484">
        <v>0</v>
      </c>
      <c r="AX484">
        <v>0</v>
      </c>
      <c r="AY484">
        <v>0</v>
      </c>
      <c r="AZ484">
        <v>0</v>
      </c>
      <c r="BA484">
        <v>0</v>
      </c>
      <c r="BB484">
        <v>0</v>
      </c>
      <c r="BC484">
        <v>0</v>
      </c>
      <c r="BD484">
        <v>0</v>
      </c>
      <c r="BE484">
        <v>0</v>
      </c>
      <c r="BF484">
        <v>0</v>
      </c>
      <c r="BG484">
        <v>0</v>
      </c>
      <c r="BH484">
        <v>1</v>
      </c>
      <c r="BI484">
        <v>0.2</v>
      </c>
      <c r="BJ484">
        <v>2.1</v>
      </c>
      <c r="BK484">
        <v>2.5</v>
      </c>
      <c r="BL484">
        <v>89.59</v>
      </c>
      <c r="BM484">
        <v>13.44</v>
      </c>
      <c r="BN484">
        <v>103.03</v>
      </c>
      <c r="BO484">
        <v>103.03</v>
      </c>
      <c r="BQ484" t="s">
        <v>1511</v>
      </c>
      <c r="BR484" t="s">
        <v>84</v>
      </c>
      <c r="BS484" s="3">
        <v>45897</v>
      </c>
      <c r="BT484" s="4">
        <v>0.35416666666666669</v>
      </c>
      <c r="BU484" t="s">
        <v>1512</v>
      </c>
      <c r="BV484" t="s">
        <v>86</v>
      </c>
      <c r="BY484">
        <v>10644.48</v>
      </c>
      <c r="BZ484" t="s">
        <v>102</v>
      </c>
      <c r="CA484" t="s">
        <v>1036</v>
      </c>
      <c r="CC484" t="s">
        <v>149</v>
      </c>
      <c r="CD484">
        <v>6001</v>
      </c>
      <c r="CE484" t="s">
        <v>109</v>
      </c>
      <c r="CF484" s="3">
        <v>45897</v>
      </c>
      <c r="CI484">
        <v>2</v>
      </c>
      <c r="CJ484">
        <v>1</v>
      </c>
      <c r="CK484">
        <v>21</v>
      </c>
      <c r="CL484" t="s">
        <v>90</v>
      </c>
    </row>
    <row r="485" spans="1:90" x14ac:dyDescent="0.3">
      <c r="A485" t="s">
        <v>72</v>
      </c>
      <c r="B485" t="s">
        <v>73</v>
      </c>
      <c r="C485" t="s">
        <v>74</v>
      </c>
      <c r="E485" t="str">
        <f>"GAB2028090"</f>
        <v>GAB2028090</v>
      </c>
      <c r="F485" s="3">
        <v>45896</v>
      </c>
      <c r="G485">
        <v>202605</v>
      </c>
      <c r="H485" t="s">
        <v>75</v>
      </c>
      <c r="I485" t="s">
        <v>76</v>
      </c>
      <c r="J485" t="s">
        <v>77</v>
      </c>
      <c r="K485" t="s">
        <v>78</v>
      </c>
      <c r="L485" t="s">
        <v>148</v>
      </c>
      <c r="M485" t="s">
        <v>149</v>
      </c>
      <c r="N485" t="s">
        <v>1513</v>
      </c>
      <c r="O485" t="s">
        <v>100</v>
      </c>
      <c r="P485" t="str">
        <f>"INGS00038882 ORDGS035372      "</f>
        <v xml:space="preserve">INGS00038882 ORDGS035372      </v>
      </c>
      <c r="Q485">
        <v>0</v>
      </c>
      <c r="R485">
        <v>0</v>
      </c>
      <c r="S485">
        <v>0</v>
      </c>
      <c r="T485">
        <v>0</v>
      </c>
      <c r="U485">
        <v>0</v>
      </c>
      <c r="V485">
        <v>0</v>
      </c>
      <c r="W485">
        <v>0</v>
      </c>
      <c r="X485">
        <v>0</v>
      </c>
      <c r="Y485">
        <v>0</v>
      </c>
      <c r="Z485">
        <v>0</v>
      </c>
      <c r="AA485">
        <v>0</v>
      </c>
      <c r="AB485">
        <v>0</v>
      </c>
      <c r="AC485">
        <v>0</v>
      </c>
      <c r="AD485">
        <v>0</v>
      </c>
      <c r="AE485">
        <v>0</v>
      </c>
      <c r="AF485">
        <v>0</v>
      </c>
      <c r="AG485">
        <v>0</v>
      </c>
      <c r="AH485">
        <v>0</v>
      </c>
      <c r="AI485">
        <v>0</v>
      </c>
      <c r="AJ485">
        <v>0</v>
      </c>
      <c r="AK485">
        <v>0</v>
      </c>
      <c r="AL485">
        <v>0</v>
      </c>
      <c r="AM485">
        <v>0</v>
      </c>
      <c r="AN485">
        <v>0</v>
      </c>
      <c r="AO485">
        <v>0</v>
      </c>
      <c r="AP485">
        <v>0</v>
      </c>
      <c r="AQ485">
        <v>28.85</v>
      </c>
      <c r="AR485">
        <v>0</v>
      </c>
      <c r="AS485">
        <v>0</v>
      </c>
      <c r="AT485">
        <v>0</v>
      </c>
      <c r="AU485">
        <v>0</v>
      </c>
      <c r="AV485">
        <v>0</v>
      </c>
      <c r="AW485">
        <v>0</v>
      </c>
      <c r="AX485">
        <v>0</v>
      </c>
      <c r="AY485">
        <v>0</v>
      </c>
      <c r="AZ485">
        <v>0</v>
      </c>
      <c r="BA485">
        <v>0</v>
      </c>
      <c r="BB485">
        <v>0</v>
      </c>
      <c r="BC485">
        <v>0</v>
      </c>
      <c r="BD485">
        <v>0</v>
      </c>
      <c r="BE485">
        <v>0</v>
      </c>
      <c r="BF485">
        <v>0</v>
      </c>
      <c r="BG485">
        <v>0</v>
      </c>
      <c r="BH485">
        <v>1</v>
      </c>
      <c r="BI485">
        <v>0.1</v>
      </c>
      <c r="BJ485">
        <v>2.2000000000000002</v>
      </c>
      <c r="BK485">
        <v>2.5</v>
      </c>
      <c r="BL485">
        <v>89.59</v>
      </c>
      <c r="BM485">
        <v>13.44</v>
      </c>
      <c r="BN485">
        <v>103.03</v>
      </c>
      <c r="BO485">
        <v>103.03</v>
      </c>
      <c r="BQ485" t="s">
        <v>481</v>
      </c>
      <c r="BR485" t="s">
        <v>84</v>
      </c>
      <c r="BS485" s="3">
        <v>45897</v>
      </c>
      <c r="BT485" s="4">
        <v>0.35555555555555557</v>
      </c>
      <c r="BU485" t="s">
        <v>1514</v>
      </c>
      <c r="BV485" t="s">
        <v>86</v>
      </c>
      <c r="BY485">
        <v>10758.2</v>
      </c>
      <c r="BZ485" t="s">
        <v>102</v>
      </c>
      <c r="CA485" t="s">
        <v>1515</v>
      </c>
      <c r="CC485" t="s">
        <v>149</v>
      </c>
      <c r="CD485">
        <v>6045</v>
      </c>
      <c r="CE485" t="s">
        <v>116</v>
      </c>
      <c r="CF485" s="3">
        <v>45897</v>
      </c>
      <c r="CI485">
        <v>2</v>
      </c>
      <c r="CJ485">
        <v>1</v>
      </c>
      <c r="CK485">
        <v>21</v>
      </c>
      <c r="CL485" t="s">
        <v>90</v>
      </c>
    </row>
    <row r="486" spans="1:90" x14ac:dyDescent="0.3">
      <c r="A486" t="s">
        <v>72</v>
      </c>
      <c r="B486" t="s">
        <v>73</v>
      </c>
      <c r="C486" t="s">
        <v>74</v>
      </c>
      <c r="E486" t="str">
        <f>"GAB2028091"</f>
        <v>GAB2028091</v>
      </c>
      <c r="F486" s="3">
        <v>45896</v>
      </c>
      <c r="G486">
        <v>202605</v>
      </c>
      <c r="H486" t="s">
        <v>75</v>
      </c>
      <c r="I486" t="s">
        <v>76</v>
      </c>
      <c r="J486" t="s">
        <v>77</v>
      </c>
      <c r="K486" t="s">
        <v>78</v>
      </c>
      <c r="L486" t="s">
        <v>75</v>
      </c>
      <c r="M486" t="s">
        <v>76</v>
      </c>
      <c r="N486" t="s">
        <v>243</v>
      </c>
      <c r="O486" t="s">
        <v>100</v>
      </c>
      <c r="P486" t="str">
        <f>"INGM00120481 CT0986856        "</f>
        <v xml:space="preserve">INGM00120481 CT0986856        </v>
      </c>
      <c r="Q486">
        <v>0</v>
      </c>
      <c r="R486">
        <v>0</v>
      </c>
      <c r="S486">
        <v>0</v>
      </c>
      <c r="T486">
        <v>0</v>
      </c>
      <c r="U486">
        <v>0</v>
      </c>
      <c r="V486">
        <v>0</v>
      </c>
      <c r="W486">
        <v>0</v>
      </c>
      <c r="X486">
        <v>0</v>
      </c>
      <c r="Y486">
        <v>0</v>
      </c>
      <c r="Z486">
        <v>0</v>
      </c>
      <c r="AA486">
        <v>0</v>
      </c>
      <c r="AB486">
        <v>0</v>
      </c>
      <c r="AC486">
        <v>0</v>
      </c>
      <c r="AD486">
        <v>0</v>
      </c>
      <c r="AE486">
        <v>0</v>
      </c>
      <c r="AF486">
        <v>0</v>
      </c>
      <c r="AG486">
        <v>0</v>
      </c>
      <c r="AH486">
        <v>0</v>
      </c>
      <c r="AI486">
        <v>0</v>
      </c>
      <c r="AJ486">
        <v>0</v>
      </c>
      <c r="AK486">
        <v>0</v>
      </c>
      <c r="AL486">
        <v>0</v>
      </c>
      <c r="AM486">
        <v>0</v>
      </c>
      <c r="AN486">
        <v>0</v>
      </c>
      <c r="AO486">
        <v>0</v>
      </c>
      <c r="AP486">
        <v>0</v>
      </c>
      <c r="AQ486">
        <v>18.03</v>
      </c>
      <c r="AR486">
        <v>0</v>
      </c>
      <c r="AS486">
        <v>0</v>
      </c>
      <c r="AT486">
        <v>0</v>
      </c>
      <c r="AU486">
        <v>0</v>
      </c>
      <c r="AV486">
        <v>0</v>
      </c>
      <c r="AW486">
        <v>0</v>
      </c>
      <c r="AX486">
        <v>0</v>
      </c>
      <c r="AY486">
        <v>0</v>
      </c>
      <c r="AZ486">
        <v>0</v>
      </c>
      <c r="BA486">
        <v>0</v>
      </c>
      <c r="BB486">
        <v>0</v>
      </c>
      <c r="BC486">
        <v>0</v>
      </c>
      <c r="BD486">
        <v>0</v>
      </c>
      <c r="BE486">
        <v>0</v>
      </c>
      <c r="BF486">
        <v>0</v>
      </c>
      <c r="BG486">
        <v>0</v>
      </c>
      <c r="BH486">
        <v>1</v>
      </c>
      <c r="BI486">
        <v>0.2</v>
      </c>
      <c r="BJ486">
        <v>1.8</v>
      </c>
      <c r="BK486">
        <v>2</v>
      </c>
      <c r="BL486">
        <v>55.99</v>
      </c>
      <c r="BM486">
        <v>8.4</v>
      </c>
      <c r="BN486">
        <v>64.39</v>
      </c>
      <c r="BO486">
        <v>64.39</v>
      </c>
      <c r="BQ486" t="s">
        <v>244</v>
      </c>
      <c r="BR486" t="s">
        <v>84</v>
      </c>
      <c r="BS486" s="3">
        <v>45897</v>
      </c>
      <c r="BT486" s="4">
        <v>0.41249999999999998</v>
      </c>
      <c r="BU486" t="s">
        <v>466</v>
      </c>
      <c r="BV486" t="s">
        <v>86</v>
      </c>
      <c r="BY486">
        <v>8828.16</v>
      </c>
      <c r="BZ486" t="s">
        <v>102</v>
      </c>
      <c r="CA486" t="s">
        <v>158</v>
      </c>
      <c r="CC486" t="s">
        <v>76</v>
      </c>
      <c r="CD486">
        <v>7800</v>
      </c>
      <c r="CE486" t="s">
        <v>109</v>
      </c>
      <c r="CI486">
        <v>1</v>
      </c>
      <c r="CJ486">
        <v>1</v>
      </c>
      <c r="CK486">
        <v>22</v>
      </c>
      <c r="CL486" t="s">
        <v>90</v>
      </c>
    </row>
    <row r="487" spans="1:90" x14ac:dyDescent="0.3">
      <c r="A487" t="s">
        <v>72</v>
      </c>
      <c r="B487" t="s">
        <v>73</v>
      </c>
      <c r="C487" t="s">
        <v>74</v>
      </c>
      <c r="E487" t="str">
        <f>"GAB2028092"</f>
        <v>GAB2028092</v>
      </c>
      <c r="F487" s="3">
        <v>45896</v>
      </c>
      <c r="G487">
        <v>202605</v>
      </c>
      <c r="H487" t="s">
        <v>75</v>
      </c>
      <c r="I487" t="s">
        <v>76</v>
      </c>
      <c r="J487" t="s">
        <v>77</v>
      </c>
      <c r="K487" t="s">
        <v>78</v>
      </c>
      <c r="L487" t="s">
        <v>1004</v>
      </c>
      <c r="M487" t="s">
        <v>1005</v>
      </c>
      <c r="N487" t="s">
        <v>1242</v>
      </c>
      <c r="O487" t="s">
        <v>100</v>
      </c>
      <c r="P487" t="str">
        <f>"INGS00038909 ORDGS035630      "</f>
        <v xml:space="preserve">INGS00038909 ORDGS035630      </v>
      </c>
      <c r="Q487">
        <v>0</v>
      </c>
      <c r="R487">
        <v>0</v>
      </c>
      <c r="S487">
        <v>0</v>
      </c>
      <c r="T487">
        <v>0</v>
      </c>
      <c r="U487">
        <v>0</v>
      </c>
      <c r="V487">
        <v>0</v>
      </c>
      <c r="W487">
        <v>0</v>
      </c>
      <c r="X487">
        <v>0</v>
      </c>
      <c r="Y487">
        <v>0</v>
      </c>
      <c r="Z487">
        <v>0</v>
      </c>
      <c r="AA487">
        <v>0</v>
      </c>
      <c r="AB487">
        <v>0</v>
      </c>
      <c r="AC487">
        <v>0</v>
      </c>
      <c r="AD487">
        <v>0</v>
      </c>
      <c r="AE487">
        <v>0</v>
      </c>
      <c r="AF487">
        <v>0</v>
      </c>
      <c r="AG487">
        <v>0</v>
      </c>
      <c r="AH487">
        <v>0</v>
      </c>
      <c r="AI487">
        <v>0</v>
      </c>
      <c r="AJ487">
        <v>0</v>
      </c>
      <c r="AK487">
        <v>0</v>
      </c>
      <c r="AL487">
        <v>0</v>
      </c>
      <c r="AM487">
        <v>0</v>
      </c>
      <c r="AN487">
        <v>0</v>
      </c>
      <c r="AO487">
        <v>0</v>
      </c>
      <c r="AP487">
        <v>0</v>
      </c>
      <c r="AQ487">
        <v>54.82</v>
      </c>
      <c r="AR487">
        <v>0</v>
      </c>
      <c r="AS487">
        <v>0</v>
      </c>
      <c r="AT487">
        <v>0</v>
      </c>
      <c r="AU487">
        <v>0</v>
      </c>
      <c r="AV487">
        <v>0</v>
      </c>
      <c r="AW487">
        <v>0</v>
      </c>
      <c r="AX487">
        <v>0</v>
      </c>
      <c r="AY487">
        <v>0</v>
      </c>
      <c r="AZ487">
        <v>0</v>
      </c>
      <c r="BA487">
        <v>0</v>
      </c>
      <c r="BB487">
        <v>0</v>
      </c>
      <c r="BC487">
        <v>0</v>
      </c>
      <c r="BD487">
        <v>0</v>
      </c>
      <c r="BE487">
        <v>0</v>
      </c>
      <c r="BF487">
        <v>0</v>
      </c>
      <c r="BG487">
        <v>0</v>
      </c>
      <c r="BH487">
        <v>1</v>
      </c>
      <c r="BI487">
        <v>1</v>
      </c>
      <c r="BJ487">
        <v>2.5</v>
      </c>
      <c r="BK487">
        <v>2.5</v>
      </c>
      <c r="BL487">
        <v>170.24</v>
      </c>
      <c r="BM487">
        <v>25.54</v>
      </c>
      <c r="BN487">
        <v>195.78</v>
      </c>
      <c r="BO487">
        <v>195.78</v>
      </c>
      <c r="BR487" t="s">
        <v>84</v>
      </c>
      <c r="BS487" s="3">
        <v>45897</v>
      </c>
      <c r="BT487" s="4">
        <v>0.40208333333333335</v>
      </c>
      <c r="BU487" t="s">
        <v>1516</v>
      </c>
      <c r="BV487" t="s">
        <v>86</v>
      </c>
      <c r="BY487">
        <v>12462</v>
      </c>
      <c r="BZ487" t="s">
        <v>102</v>
      </c>
      <c r="CA487" t="s">
        <v>1517</v>
      </c>
      <c r="CC487" t="s">
        <v>1005</v>
      </c>
      <c r="CD487">
        <v>2571</v>
      </c>
      <c r="CE487" t="s">
        <v>1518</v>
      </c>
      <c r="CI487">
        <v>2</v>
      </c>
      <c r="CJ487">
        <v>1</v>
      </c>
      <c r="CK487">
        <v>23</v>
      </c>
      <c r="CL487" t="s">
        <v>90</v>
      </c>
    </row>
    <row r="488" spans="1:90" x14ac:dyDescent="0.3">
      <c r="A488" t="s">
        <v>72</v>
      </c>
      <c r="B488" t="s">
        <v>73</v>
      </c>
      <c r="C488" t="s">
        <v>74</v>
      </c>
      <c r="E488" t="str">
        <f>"GAB2028093"</f>
        <v>GAB2028093</v>
      </c>
      <c r="F488" s="3">
        <v>45896</v>
      </c>
      <c r="G488">
        <v>202605</v>
      </c>
      <c r="H488" t="s">
        <v>75</v>
      </c>
      <c r="I488" t="s">
        <v>76</v>
      </c>
      <c r="J488" t="s">
        <v>77</v>
      </c>
      <c r="K488" t="s">
        <v>78</v>
      </c>
      <c r="L488" t="s">
        <v>159</v>
      </c>
      <c r="M488" t="s">
        <v>159</v>
      </c>
      <c r="N488" t="s">
        <v>304</v>
      </c>
      <c r="O488" t="s">
        <v>100</v>
      </c>
      <c r="P488" t="str">
        <f>"INVOICE 00120482 ORDGS035894  "</f>
        <v xml:space="preserve">INVOICE 00120482 ORDGS035894  </v>
      </c>
      <c r="Q488">
        <v>0</v>
      </c>
      <c r="R488">
        <v>0</v>
      </c>
      <c r="S488">
        <v>0</v>
      </c>
      <c r="T488">
        <v>0</v>
      </c>
      <c r="U488">
        <v>0</v>
      </c>
      <c r="V488">
        <v>0</v>
      </c>
      <c r="W488">
        <v>0</v>
      </c>
      <c r="X488">
        <v>0</v>
      </c>
      <c r="Y488">
        <v>0</v>
      </c>
      <c r="Z488">
        <v>0</v>
      </c>
      <c r="AA488">
        <v>0</v>
      </c>
      <c r="AB488">
        <v>0</v>
      </c>
      <c r="AC488">
        <v>0</v>
      </c>
      <c r="AD488">
        <v>0</v>
      </c>
      <c r="AE488">
        <v>0</v>
      </c>
      <c r="AF488">
        <v>0</v>
      </c>
      <c r="AG488">
        <v>0</v>
      </c>
      <c r="AH488">
        <v>0</v>
      </c>
      <c r="AI488">
        <v>0</v>
      </c>
      <c r="AJ488">
        <v>0</v>
      </c>
      <c r="AK488">
        <v>0</v>
      </c>
      <c r="AL488">
        <v>0</v>
      </c>
      <c r="AM488">
        <v>0</v>
      </c>
      <c r="AN488">
        <v>0</v>
      </c>
      <c r="AO488">
        <v>0</v>
      </c>
      <c r="AP488">
        <v>0</v>
      </c>
      <c r="AQ488">
        <v>95.7</v>
      </c>
      <c r="AR488">
        <v>0</v>
      </c>
      <c r="AS488">
        <v>0</v>
      </c>
      <c r="AT488">
        <v>0</v>
      </c>
      <c r="AU488">
        <v>0</v>
      </c>
      <c r="AV488">
        <v>0</v>
      </c>
      <c r="AW488">
        <v>0</v>
      </c>
      <c r="AX488">
        <v>0</v>
      </c>
      <c r="AY488">
        <v>0</v>
      </c>
      <c r="AZ488">
        <v>0</v>
      </c>
      <c r="BA488">
        <v>0</v>
      </c>
      <c r="BB488">
        <v>0</v>
      </c>
      <c r="BC488">
        <v>0</v>
      </c>
      <c r="BD488">
        <v>0</v>
      </c>
      <c r="BE488">
        <v>0</v>
      </c>
      <c r="BF488">
        <v>0</v>
      </c>
      <c r="BG488">
        <v>0</v>
      </c>
      <c r="BH488">
        <v>1</v>
      </c>
      <c r="BI488">
        <v>1.5</v>
      </c>
      <c r="BJ488">
        <v>5.9</v>
      </c>
      <c r="BK488">
        <v>6</v>
      </c>
      <c r="BL488">
        <v>297.17</v>
      </c>
      <c r="BM488">
        <v>44.58</v>
      </c>
      <c r="BN488">
        <v>341.75</v>
      </c>
      <c r="BO488">
        <v>341.75</v>
      </c>
      <c r="BQ488" t="s">
        <v>1519</v>
      </c>
      <c r="BR488" t="s">
        <v>84</v>
      </c>
      <c r="BS488" s="3">
        <v>45897</v>
      </c>
      <c r="BT488" s="4">
        <v>0.48055555555555557</v>
      </c>
      <c r="BU488" t="s">
        <v>1520</v>
      </c>
      <c r="BV488" t="s">
        <v>86</v>
      </c>
      <c r="BY488">
        <v>29681.88</v>
      </c>
      <c r="BZ488" t="s">
        <v>102</v>
      </c>
      <c r="CA488" t="s">
        <v>272</v>
      </c>
      <c r="CC488" t="s">
        <v>159</v>
      </c>
      <c r="CD488">
        <v>7646</v>
      </c>
      <c r="CE488" t="s">
        <v>1521</v>
      </c>
      <c r="CI488">
        <v>1</v>
      </c>
      <c r="CJ488">
        <v>1</v>
      </c>
      <c r="CK488">
        <v>24</v>
      </c>
      <c r="CL488" t="s">
        <v>90</v>
      </c>
    </row>
    <row r="489" spans="1:90" x14ac:dyDescent="0.3">
      <c r="A489" t="s">
        <v>72</v>
      </c>
      <c r="B489" t="s">
        <v>73</v>
      </c>
      <c r="C489" t="s">
        <v>74</v>
      </c>
      <c r="E489" t="str">
        <f>"080011607043"</f>
        <v>080011607043</v>
      </c>
      <c r="F489" s="3">
        <v>45896</v>
      </c>
      <c r="G489">
        <v>202605</v>
      </c>
      <c r="H489" t="s">
        <v>201</v>
      </c>
      <c r="I489" t="s">
        <v>202</v>
      </c>
      <c r="J489" t="s">
        <v>1522</v>
      </c>
      <c r="K489" t="s">
        <v>78</v>
      </c>
      <c r="L489" t="s">
        <v>75</v>
      </c>
      <c r="M489" t="s">
        <v>76</v>
      </c>
      <c r="N489" t="s">
        <v>257</v>
      </c>
      <c r="O489" t="s">
        <v>1197</v>
      </c>
      <c r="P489" t="str">
        <f>"-                             "</f>
        <v xml:space="preserve">-                             </v>
      </c>
      <c r="Q489">
        <v>0</v>
      </c>
      <c r="R489">
        <v>0</v>
      </c>
      <c r="S489">
        <v>0</v>
      </c>
      <c r="T489">
        <v>0</v>
      </c>
      <c r="U489">
        <v>0</v>
      </c>
      <c r="V489">
        <v>0</v>
      </c>
      <c r="W489">
        <v>0</v>
      </c>
      <c r="X489">
        <v>0</v>
      </c>
      <c r="Y489">
        <v>0</v>
      </c>
      <c r="Z489">
        <v>0</v>
      </c>
      <c r="AA489">
        <v>0</v>
      </c>
      <c r="AB489">
        <v>0</v>
      </c>
      <c r="AC489">
        <v>16.739999999999998</v>
      </c>
      <c r="AD489">
        <v>0</v>
      </c>
      <c r="AE489">
        <v>0</v>
      </c>
      <c r="AF489">
        <v>0</v>
      </c>
      <c r="AG489">
        <v>0</v>
      </c>
      <c r="AH489">
        <v>0</v>
      </c>
      <c r="AI489">
        <v>0</v>
      </c>
      <c r="AJ489">
        <v>0</v>
      </c>
      <c r="AK489">
        <v>0</v>
      </c>
      <c r="AL489">
        <v>0</v>
      </c>
      <c r="AM489">
        <v>0</v>
      </c>
      <c r="AN489">
        <v>0</v>
      </c>
      <c r="AO489">
        <v>0</v>
      </c>
      <c r="AP489">
        <v>0</v>
      </c>
      <c r="AQ489">
        <v>68.17</v>
      </c>
      <c r="AR489">
        <v>0</v>
      </c>
      <c r="AS489">
        <v>0</v>
      </c>
      <c r="AT489">
        <v>0</v>
      </c>
      <c r="AU489">
        <v>0</v>
      </c>
      <c r="AV489">
        <v>0</v>
      </c>
      <c r="AW489">
        <v>0</v>
      </c>
      <c r="AX489">
        <v>0</v>
      </c>
      <c r="AY489">
        <v>0</v>
      </c>
      <c r="AZ489">
        <v>0</v>
      </c>
      <c r="BA489">
        <v>0</v>
      </c>
      <c r="BB489">
        <v>0</v>
      </c>
      <c r="BC489">
        <v>0</v>
      </c>
      <c r="BD489">
        <v>0</v>
      </c>
      <c r="BE489">
        <v>0</v>
      </c>
      <c r="BF489">
        <v>0</v>
      </c>
      <c r="BG489">
        <v>0</v>
      </c>
      <c r="BH489">
        <v>1</v>
      </c>
      <c r="BI489">
        <v>3</v>
      </c>
      <c r="BJ489">
        <v>2.4</v>
      </c>
      <c r="BK489">
        <v>3</v>
      </c>
      <c r="BL489">
        <v>228.43</v>
      </c>
      <c r="BM489">
        <v>34.26</v>
      </c>
      <c r="BN489">
        <v>262.69</v>
      </c>
      <c r="BO489">
        <v>262.69</v>
      </c>
      <c r="BP489" t="s">
        <v>176</v>
      </c>
      <c r="BQ489" t="s">
        <v>614</v>
      </c>
      <c r="BR489" t="s">
        <v>1523</v>
      </c>
      <c r="BS489" t="s">
        <v>176</v>
      </c>
      <c r="BY489">
        <v>12000</v>
      </c>
      <c r="BZ489" t="s">
        <v>1524</v>
      </c>
      <c r="CC489" t="s">
        <v>76</v>
      </c>
      <c r="CD489">
        <v>7460</v>
      </c>
      <c r="CE489" t="s">
        <v>616</v>
      </c>
      <c r="CI489">
        <v>1</v>
      </c>
      <c r="CJ489" t="s">
        <v>176</v>
      </c>
      <c r="CK489">
        <v>33</v>
      </c>
      <c r="CL489" t="s">
        <v>90</v>
      </c>
    </row>
    <row r="490" spans="1:90" x14ac:dyDescent="0.3">
      <c r="A490" t="s">
        <v>72</v>
      </c>
      <c r="B490" t="s">
        <v>73</v>
      </c>
      <c r="C490" t="s">
        <v>74</v>
      </c>
      <c r="E490" t="str">
        <f>"080011608685"</f>
        <v>080011608685</v>
      </c>
      <c r="F490" s="3">
        <v>45897</v>
      </c>
      <c r="G490">
        <v>202605</v>
      </c>
      <c r="H490" t="s">
        <v>1525</v>
      </c>
      <c r="I490" t="s">
        <v>1526</v>
      </c>
      <c r="J490" t="s">
        <v>1527</v>
      </c>
      <c r="K490" t="s">
        <v>78</v>
      </c>
      <c r="L490" t="s">
        <v>79</v>
      </c>
      <c r="M490" t="s">
        <v>80</v>
      </c>
      <c r="N490" t="s">
        <v>257</v>
      </c>
      <c r="O490" t="s">
        <v>100</v>
      </c>
      <c r="P490" t="str">
        <f>"-                             "</f>
        <v xml:space="preserve">-                             </v>
      </c>
      <c r="Q490">
        <v>0</v>
      </c>
      <c r="R490">
        <v>0</v>
      </c>
      <c r="S490">
        <v>0</v>
      </c>
      <c r="T490">
        <v>0</v>
      </c>
      <c r="U490">
        <v>0</v>
      </c>
      <c r="V490">
        <v>0</v>
      </c>
      <c r="W490">
        <v>0</v>
      </c>
      <c r="X490">
        <v>0</v>
      </c>
      <c r="Y490">
        <v>0</v>
      </c>
      <c r="Z490">
        <v>0</v>
      </c>
      <c r="AA490">
        <v>0</v>
      </c>
      <c r="AB490">
        <v>0</v>
      </c>
      <c r="AC490">
        <v>0</v>
      </c>
      <c r="AD490">
        <v>0</v>
      </c>
      <c r="AE490">
        <v>0</v>
      </c>
      <c r="AF490">
        <v>0</v>
      </c>
      <c r="AG490">
        <v>0</v>
      </c>
      <c r="AH490">
        <v>0</v>
      </c>
      <c r="AI490">
        <v>0</v>
      </c>
      <c r="AJ490">
        <v>0</v>
      </c>
      <c r="AK490">
        <v>0</v>
      </c>
      <c r="AL490">
        <v>0</v>
      </c>
      <c r="AM490">
        <v>0</v>
      </c>
      <c r="AN490">
        <v>0</v>
      </c>
      <c r="AO490">
        <v>0</v>
      </c>
      <c r="AP490">
        <v>0</v>
      </c>
      <c r="AQ490">
        <v>105.32</v>
      </c>
      <c r="AR490">
        <v>0</v>
      </c>
      <c r="AS490">
        <v>0</v>
      </c>
      <c r="AT490">
        <v>0</v>
      </c>
      <c r="AU490">
        <v>0</v>
      </c>
      <c r="AV490">
        <v>0</v>
      </c>
      <c r="AW490">
        <v>0</v>
      </c>
      <c r="AX490">
        <v>0</v>
      </c>
      <c r="AY490">
        <v>0</v>
      </c>
      <c r="AZ490">
        <v>0</v>
      </c>
      <c r="BA490">
        <v>0</v>
      </c>
      <c r="BB490">
        <v>0</v>
      </c>
      <c r="BC490">
        <v>0</v>
      </c>
      <c r="BD490">
        <v>0</v>
      </c>
      <c r="BE490">
        <v>0</v>
      </c>
      <c r="BF490">
        <v>0</v>
      </c>
      <c r="BG490">
        <v>0</v>
      </c>
      <c r="BH490">
        <v>1</v>
      </c>
      <c r="BI490">
        <v>5</v>
      </c>
      <c r="BJ490">
        <v>4.8</v>
      </c>
      <c r="BK490">
        <v>5</v>
      </c>
      <c r="BL490">
        <v>327.04000000000002</v>
      </c>
      <c r="BM490">
        <v>49.06</v>
      </c>
      <c r="BN490">
        <v>376.1</v>
      </c>
      <c r="BO490">
        <v>376.1</v>
      </c>
      <c r="BP490" t="s">
        <v>176</v>
      </c>
      <c r="BQ490" t="s">
        <v>1016</v>
      </c>
      <c r="BR490" t="s">
        <v>1528</v>
      </c>
      <c r="BS490" t="s">
        <v>176</v>
      </c>
      <c r="BV490" t="s">
        <v>90</v>
      </c>
      <c r="BY490">
        <v>24000</v>
      </c>
      <c r="BZ490" t="s">
        <v>102</v>
      </c>
      <c r="CC490" t="s">
        <v>80</v>
      </c>
      <c r="CD490" s="5" t="s">
        <v>1020</v>
      </c>
      <c r="CE490" t="s">
        <v>616</v>
      </c>
      <c r="CI490">
        <v>1</v>
      </c>
      <c r="CJ490" t="s">
        <v>176</v>
      </c>
      <c r="CK490">
        <v>23</v>
      </c>
      <c r="CL490" t="s">
        <v>90</v>
      </c>
    </row>
    <row r="491" spans="1:90" x14ac:dyDescent="0.3">
      <c r="A491" t="s">
        <v>72</v>
      </c>
      <c r="B491" t="s">
        <v>73</v>
      </c>
      <c r="C491" t="s">
        <v>74</v>
      </c>
      <c r="E491" t="str">
        <f>"009945127732"</f>
        <v>009945127732</v>
      </c>
      <c r="F491" s="3">
        <v>45897</v>
      </c>
      <c r="G491">
        <v>202605</v>
      </c>
      <c r="H491" t="s">
        <v>91</v>
      </c>
      <c r="I491" t="s">
        <v>92</v>
      </c>
      <c r="J491" t="s">
        <v>592</v>
      </c>
      <c r="K491" t="s">
        <v>78</v>
      </c>
      <c r="L491" t="s">
        <v>190</v>
      </c>
      <c r="M491" t="s">
        <v>191</v>
      </c>
      <c r="N491" t="s">
        <v>257</v>
      </c>
      <c r="O491" t="s">
        <v>100</v>
      </c>
      <c r="P491" t="str">
        <f>"LEVENE                        "</f>
        <v xml:space="preserve">LEVENE                        </v>
      </c>
      <c r="Q491">
        <v>0</v>
      </c>
      <c r="R491">
        <v>0</v>
      </c>
      <c r="S491">
        <v>0</v>
      </c>
      <c r="T491">
        <v>0</v>
      </c>
      <c r="U491">
        <v>0</v>
      </c>
      <c r="V491">
        <v>0</v>
      </c>
      <c r="W491">
        <v>0</v>
      </c>
      <c r="X491">
        <v>0</v>
      </c>
      <c r="Y491">
        <v>0</v>
      </c>
      <c r="Z491">
        <v>0</v>
      </c>
      <c r="AA491">
        <v>0</v>
      </c>
      <c r="AB491">
        <v>0</v>
      </c>
      <c r="AC491">
        <v>0</v>
      </c>
      <c r="AD491">
        <v>0</v>
      </c>
      <c r="AE491">
        <v>0</v>
      </c>
      <c r="AF491">
        <v>0</v>
      </c>
      <c r="AG491">
        <v>0</v>
      </c>
      <c r="AH491">
        <v>0</v>
      </c>
      <c r="AI491">
        <v>0</v>
      </c>
      <c r="AJ491">
        <v>0</v>
      </c>
      <c r="AK491">
        <v>0</v>
      </c>
      <c r="AL491">
        <v>0</v>
      </c>
      <c r="AM491">
        <v>0</v>
      </c>
      <c r="AN491">
        <v>0</v>
      </c>
      <c r="AO491">
        <v>0</v>
      </c>
      <c r="AP491">
        <v>0</v>
      </c>
      <c r="AQ491">
        <v>23.09</v>
      </c>
      <c r="AR491">
        <v>0</v>
      </c>
      <c r="AS491">
        <v>0</v>
      </c>
      <c r="AT491">
        <v>0</v>
      </c>
      <c r="AU491">
        <v>0</v>
      </c>
      <c r="AV491">
        <v>0</v>
      </c>
      <c r="AW491">
        <v>0</v>
      </c>
      <c r="AX491">
        <v>0</v>
      </c>
      <c r="AY491">
        <v>0</v>
      </c>
      <c r="AZ491">
        <v>0</v>
      </c>
      <c r="BA491">
        <v>0</v>
      </c>
      <c r="BB491">
        <v>0</v>
      </c>
      <c r="BC491">
        <v>0</v>
      </c>
      <c r="BD491">
        <v>0</v>
      </c>
      <c r="BE491">
        <v>0</v>
      </c>
      <c r="BF491">
        <v>0</v>
      </c>
      <c r="BG491">
        <v>0</v>
      </c>
      <c r="BH491">
        <v>1</v>
      </c>
      <c r="BI491">
        <v>1</v>
      </c>
      <c r="BJ491">
        <v>0.2</v>
      </c>
      <c r="BK491">
        <v>1</v>
      </c>
      <c r="BL491">
        <v>71.69</v>
      </c>
      <c r="BM491">
        <v>10.75</v>
      </c>
      <c r="BN491">
        <v>82.44</v>
      </c>
      <c r="BO491">
        <v>82.44</v>
      </c>
      <c r="BQ491" t="s">
        <v>593</v>
      </c>
      <c r="BR491" t="s">
        <v>594</v>
      </c>
      <c r="BS491" t="s">
        <v>176</v>
      </c>
      <c r="BV491" t="s">
        <v>90</v>
      </c>
      <c r="BY491">
        <v>1000</v>
      </c>
      <c r="BZ491" t="s">
        <v>102</v>
      </c>
      <c r="CC491" t="s">
        <v>191</v>
      </c>
      <c r="CD491" s="5" t="s">
        <v>196</v>
      </c>
      <c r="CE491" t="s">
        <v>176</v>
      </c>
      <c r="CI491">
        <v>1</v>
      </c>
      <c r="CJ491" t="s">
        <v>176</v>
      </c>
      <c r="CK491">
        <v>21</v>
      </c>
      <c r="CL491" t="s">
        <v>90</v>
      </c>
    </row>
    <row r="492" spans="1:90" x14ac:dyDescent="0.3">
      <c r="A492" t="s">
        <v>72</v>
      </c>
      <c r="B492" t="s">
        <v>73</v>
      </c>
      <c r="C492" t="s">
        <v>74</v>
      </c>
      <c r="E492" t="str">
        <f>"009945127731"</f>
        <v>009945127731</v>
      </c>
      <c r="F492" s="3">
        <v>45897</v>
      </c>
      <c r="G492">
        <v>202605</v>
      </c>
      <c r="H492" t="s">
        <v>91</v>
      </c>
      <c r="I492" t="s">
        <v>92</v>
      </c>
      <c r="J492" t="s">
        <v>592</v>
      </c>
      <c r="K492" t="s">
        <v>78</v>
      </c>
      <c r="L492" t="s">
        <v>75</v>
      </c>
      <c r="M492" t="s">
        <v>76</v>
      </c>
      <c r="N492" t="s">
        <v>257</v>
      </c>
      <c r="O492" t="s">
        <v>100</v>
      </c>
      <c r="P492" t="str">
        <f>"LEVENE                        "</f>
        <v xml:space="preserve">LEVENE                        </v>
      </c>
      <c r="Q492">
        <v>0</v>
      </c>
      <c r="R492">
        <v>0</v>
      </c>
      <c r="S492">
        <v>0</v>
      </c>
      <c r="T492">
        <v>0</v>
      </c>
      <c r="U492">
        <v>0</v>
      </c>
      <c r="V492">
        <v>0</v>
      </c>
      <c r="W492">
        <v>0</v>
      </c>
      <c r="X492">
        <v>0</v>
      </c>
      <c r="Y492">
        <v>0</v>
      </c>
      <c r="Z492">
        <v>0</v>
      </c>
      <c r="AA492">
        <v>0</v>
      </c>
      <c r="AB492">
        <v>0</v>
      </c>
      <c r="AC492">
        <v>0</v>
      </c>
      <c r="AD492">
        <v>0</v>
      </c>
      <c r="AE492">
        <v>0</v>
      </c>
      <c r="AF492">
        <v>0</v>
      </c>
      <c r="AG492">
        <v>0</v>
      </c>
      <c r="AH492">
        <v>0</v>
      </c>
      <c r="AI492">
        <v>0</v>
      </c>
      <c r="AJ492">
        <v>0</v>
      </c>
      <c r="AK492">
        <v>0</v>
      </c>
      <c r="AL492">
        <v>0</v>
      </c>
      <c r="AM492">
        <v>0</v>
      </c>
      <c r="AN492">
        <v>0</v>
      </c>
      <c r="AO492">
        <v>0</v>
      </c>
      <c r="AP492">
        <v>0</v>
      </c>
      <c r="AQ492">
        <v>23.09</v>
      </c>
      <c r="AR492">
        <v>0</v>
      </c>
      <c r="AS492">
        <v>0</v>
      </c>
      <c r="AT492">
        <v>0</v>
      </c>
      <c r="AU492">
        <v>0</v>
      </c>
      <c r="AV492">
        <v>0</v>
      </c>
      <c r="AW492">
        <v>0</v>
      </c>
      <c r="AX492">
        <v>0</v>
      </c>
      <c r="AY492">
        <v>0</v>
      </c>
      <c r="AZ492">
        <v>0</v>
      </c>
      <c r="BA492">
        <v>0</v>
      </c>
      <c r="BB492">
        <v>0</v>
      </c>
      <c r="BC492">
        <v>0</v>
      </c>
      <c r="BD492">
        <v>0</v>
      </c>
      <c r="BE492">
        <v>0</v>
      </c>
      <c r="BF492">
        <v>0</v>
      </c>
      <c r="BG492">
        <v>0</v>
      </c>
      <c r="BH492">
        <v>1</v>
      </c>
      <c r="BI492">
        <v>0.5</v>
      </c>
      <c r="BJ492">
        <v>0.6</v>
      </c>
      <c r="BK492">
        <v>1</v>
      </c>
      <c r="BL492">
        <v>71.69</v>
      </c>
      <c r="BM492">
        <v>10.75</v>
      </c>
      <c r="BN492">
        <v>82.44</v>
      </c>
      <c r="BO492">
        <v>82.44</v>
      </c>
      <c r="BQ492" t="s">
        <v>1529</v>
      </c>
      <c r="BR492" t="s">
        <v>594</v>
      </c>
      <c r="BS492" t="s">
        <v>176</v>
      </c>
      <c r="BV492" t="s">
        <v>90</v>
      </c>
      <c r="BY492">
        <v>3000</v>
      </c>
      <c r="BZ492" t="s">
        <v>102</v>
      </c>
      <c r="CC492" t="s">
        <v>76</v>
      </c>
      <c r="CD492">
        <v>7460</v>
      </c>
      <c r="CE492" t="s">
        <v>176</v>
      </c>
      <c r="CI492">
        <v>2</v>
      </c>
      <c r="CJ492" t="s">
        <v>176</v>
      </c>
      <c r="CK492">
        <v>21</v>
      </c>
      <c r="CL492" t="s">
        <v>90</v>
      </c>
    </row>
    <row r="493" spans="1:90" x14ac:dyDescent="0.3">
      <c r="A493" t="s">
        <v>72</v>
      </c>
      <c r="B493" t="s">
        <v>73</v>
      </c>
      <c r="C493" t="s">
        <v>74</v>
      </c>
      <c r="E493" t="str">
        <f>"GAB2028101"</f>
        <v>GAB2028101</v>
      </c>
      <c r="F493" s="3">
        <v>45897</v>
      </c>
      <c r="G493">
        <v>202605</v>
      </c>
      <c r="H493" t="s">
        <v>75</v>
      </c>
      <c r="I493" t="s">
        <v>76</v>
      </c>
      <c r="J493" t="s">
        <v>77</v>
      </c>
      <c r="K493" t="s">
        <v>78</v>
      </c>
      <c r="L493" t="s">
        <v>315</v>
      </c>
      <c r="M493" t="s">
        <v>316</v>
      </c>
      <c r="N493" t="s">
        <v>317</v>
      </c>
      <c r="O493" t="s">
        <v>82</v>
      </c>
      <c r="P493" t="str">
        <f>"INVOICE 00120499 CT0986854    "</f>
        <v xml:space="preserve">INVOICE 00120499 CT0986854    </v>
      </c>
      <c r="Q493">
        <v>0</v>
      </c>
      <c r="R493">
        <v>0</v>
      </c>
      <c r="S493">
        <v>0</v>
      </c>
      <c r="T493">
        <v>0</v>
      </c>
      <c r="U493">
        <v>0</v>
      </c>
      <c r="V493">
        <v>0</v>
      </c>
      <c r="W493">
        <v>0</v>
      </c>
      <c r="X493">
        <v>0</v>
      </c>
      <c r="Y493">
        <v>0</v>
      </c>
      <c r="Z493">
        <v>0</v>
      </c>
      <c r="AA493">
        <v>0</v>
      </c>
      <c r="AB493">
        <v>0</v>
      </c>
      <c r="AC493">
        <v>0</v>
      </c>
      <c r="AD493">
        <v>0</v>
      </c>
      <c r="AE493">
        <v>0</v>
      </c>
      <c r="AF493">
        <v>0</v>
      </c>
      <c r="AG493">
        <v>5.87</v>
      </c>
      <c r="AH493">
        <v>0</v>
      </c>
      <c r="AI493">
        <v>0</v>
      </c>
      <c r="AJ493">
        <v>0</v>
      </c>
      <c r="AK493">
        <v>0</v>
      </c>
      <c r="AL493">
        <v>0</v>
      </c>
      <c r="AM493">
        <v>0</v>
      </c>
      <c r="AN493">
        <v>0</v>
      </c>
      <c r="AO493">
        <v>0</v>
      </c>
      <c r="AP493">
        <v>0</v>
      </c>
      <c r="AQ493">
        <v>44.64</v>
      </c>
      <c r="AR493">
        <v>0</v>
      </c>
      <c r="AS493">
        <v>0</v>
      </c>
      <c r="AT493">
        <v>0</v>
      </c>
      <c r="AU493">
        <v>0</v>
      </c>
      <c r="AV493">
        <v>0</v>
      </c>
      <c r="AW493">
        <v>0</v>
      </c>
      <c r="AX493">
        <v>0</v>
      </c>
      <c r="AY493">
        <v>0</v>
      </c>
      <c r="AZ493">
        <v>0</v>
      </c>
      <c r="BA493">
        <v>0</v>
      </c>
      <c r="BB493">
        <v>0</v>
      </c>
      <c r="BC493">
        <v>0</v>
      </c>
      <c r="BD493">
        <v>0</v>
      </c>
      <c r="BE493">
        <v>0</v>
      </c>
      <c r="BF493">
        <v>0</v>
      </c>
      <c r="BG493">
        <v>0</v>
      </c>
      <c r="BH493">
        <v>1</v>
      </c>
      <c r="BI493">
        <v>4</v>
      </c>
      <c r="BJ493">
        <v>12.9</v>
      </c>
      <c r="BK493">
        <v>13</v>
      </c>
      <c r="BL493">
        <v>144.49</v>
      </c>
      <c r="BM493">
        <v>21.67</v>
      </c>
      <c r="BN493">
        <v>166.16</v>
      </c>
      <c r="BO493">
        <v>166.16</v>
      </c>
      <c r="BR493" t="s">
        <v>84</v>
      </c>
      <c r="BS493" t="s">
        <v>176</v>
      </c>
      <c r="BV493" t="s">
        <v>90</v>
      </c>
      <c r="BY493">
        <v>64463.25</v>
      </c>
      <c r="CC493" t="s">
        <v>316</v>
      </c>
      <c r="CD493">
        <v>4133</v>
      </c>
      <c r="CE493" t="s">
        <v>1484</v>
      </c>
      <c r="CI493">
        <v>3</v>
      </c>
      <c r="CJ493" t="s">
        <v>176</v>
      </c>
      <c r="CK493">
        <v>41</v>
      </c>
      <c r="CL493" t="s">
        <v>90</v>
      </c>
    </row>
    <row r="494" spans="1:90" x14ac:dyDescent="0.3">
      <c r="A494" t="s">
        <v>72</v>
      </c>
      <c r="B494" t="s">
        <v>73</v>
      </c>
      <c r="C494" t="s">
        <v>74</v>
      </c>
      <c r="E494" t="str">
        <f>"GAB2028103"</f>
        <v>GAB2028103</v>
      </c>
      <c r="F494" s="3">
        <v>45897</v>
      </c>
      <c r="G494">
        <v>202605</v>
      </c>
      <c r="H494" t="s">
        <v>75</v>
      </c>
      <c r="I494" t="s">
        <v>76</v>
      </c>
      <c r="J494" t="s">
        <v>77</v>
      </c>
      <c r="K494" t="s">
        <v>78</v>
      </c>
      <c r="L494" t="s">
        <v>75</v>
      </c>
      <c r="M494" t="s">
        <v>76</v>
      </c>
      <c r="N494" t="s">
        <v>1530</v>
      </c>
      <c r="O494" t="s">
        <v>82</v>
      </c>
      <c r="P494" t="str">
        <f>"INVOICE 00120494 ORDGS035903  "</f>
        <v xml:space="preserve">INVOICE 00120494 ORDGS035903  </v>
      </c>
      <c r="Q494">
        <v>0</v>
      </c>
      <c r="R494">
        <v>0</v>
      </c>
      <c r="S494">
        <v>0</v>
      </c>
      <c r="T494">
        <v>0</v>
      </c>
      <c r="U494">
        <v>0</v>
      </c>
      <c r="V494">
        <v>0</v>
      </c>
      <c r="W494">
        <v>0</v>
      </c>
      <c r="X494">
        <v>0</v>
      </c>
      <c r="Y494">
        <v>0</v>
      </c>
      <c r="Z494">
        <v>0</v>
      </c>
      <c r="AA494">
        <v>0</v>
      </c>
      <c r="AB494">
        <v>0</v>
      </c>
      <c r="AC494">
        <v>0</v>
      </c>
      <c r="AD494">
        <v>0</v>
      </c>
      <c r="AE494">
        <v>0</v>
      </c>
      <c r="AF494">
        <v>0</v>
      </c>
      <c r="AG494">
        <v>5.87</v>
      </c>
      <c r="AH494">
        <v>0</v>
      </c>
      <c r="AI494">
        <v>0</v>
      </c>
      <c r="AJ494">
        <v>0</v>
      </c>
      <c r="AK494">
        <v>0</v>
      </c>
      <c r="AL494">
        <v>0</v>
      </c>
      <c r="AM494">
        <v>0</v>
      </c>
      <c r="AN494">
        <v>0</v>
      </c>
      <c r="AO494">
        <v>0</v>
      </c>
      <c r="AP494">
        <v>0</v>
      </c>
      <c r="AQ494">
        <v>50.56</v>
      </c>
      <c r="AR494">
        <v>0</v>
      </c>
      <c r="AS494">
        <v>0</v>
      </c>
      <c r="AT494">
        <v>0</v>
      </c>
      <c r="AU494">
        <v>0</v>
      </c>
      <c r="AV494">
        <v>0</v>
      </c>
      <c r="AW494">
        <v>0</v>
      </c>
      <c r="AX494">
        <v>0</v>
      </c>
      <c r="AY494">
        <v>0</v>
      </c>
      <c r="AZ494">
        <v>0</v>
      </c>
      <c r="BA494">
        <v>0</v>
      </c>
      <c r="BB494">
        <v>0</v>
      </c>
      <c r="BC494">
        <v>0</v>
      </c>
      <c r="BD494">
        <v>0</v>
      </c>
      <c r="BE494">
        <v>0</v>
      </c>
      <c r="BF494">
        <v>0</v>
      </c>
      <c r="BG494">
        <v>0</v>
      </c>
      <c r="BH494">
        <v>2</v>
      </c>
      <c r="BI494">
        <v>14.2</v>
      </c>
      <c r="BJ494">
        <v>30.8</v>
      </c>
      <c r="BK494">
        <v>31</v>
      </c>
      <c r="BL494">
        <v>162.87</v>
      </c>
      <c r="BM494">
        <v>24.43</v>
      </c>
      <c r="BN494">
        <v>187.3</v>
      </c>
      <c r="BO494">
        <v>187.3</v>
      </c>
      <c r="BQ494" t="s">
        <v>1531</v>
      </c>
      <c r="BR494" t="s">
        <v>84</v>
      </c>
      <c r="BS494" t="s">
        <v>176</v>
      </c>
      <c r="BV494" t="s">
        <v>90</v>
      </c>
      <c r="BY494">
        <v>153894.13</v>
      </c>
      <c r="CC494" t="s">
        <v>76</v>
      </c>
      <c r="CD494">
        <v>7530</v>
      </c>
      <c r="CE494" t="s">
        <v>1532</v>
      </c>
      <c r="CI494">
        <v>1</v>
      </c>
      <c r="CJ494" t="s">
        <v>176</v>
      </c>
      <c r="CK494">
        <v>42</v>
      </c>
      <c r="CL494" t="s">
        <v>90</v>
      </c>
    </row>
    <row r="495" spans="1:90" x14ac:dyDescent="0.3">
      <c r="A495" t="s">
        <v>72</v>
      </c>
      <c r="B495" t="s">
        <v>73</v>
      </c>
      <c r="C495" t="s">
        <v>74</v>
      </c>
      <c r="E495" t="str">
        <f>"GAB2028105"</f>
        <v>GAB2028105</v>
      </c>
      <c r="F495" s="3">
        <v>45897</v>
      </c>
      <c r="G495">
        <v>202605</v>
      </c>
      <c r="H495" t="s">
        <v>75</v>
      </c>
      <c r="I495" t="s">
        <v>76</v>
      </c>
      <c r="J495" t="s">
        <v>77</v>
      </c>
      <c r="K495" t="s">
        <v>78</v>
      </c>
      <c r="L495" t="s">
        <v>938</v>
      </c>
      <c r="M495" t="s">
        <v>939</v>
      </c>
      <c r="N495" t="s">
        <v>1533</v>
      </c>
      <c r="O495" t="s">
        <v>82</v>
      </c>
      <c r="P495" t="str">
        <f>"INVOICES00120497 495 496 CT096"</f>
        <v>INVOICES00120497 495 496 CT096</v>
      </c>
      <c r="Q495">
        <v>0</v>
      </c>
      <c r="R495">
        <v>0</v>
      </c>
      <c r="S495">
        <v>0</v>
      </c>
      <c r="T495">
        <v>0</v>
      </c>
      <c r="U495">
        <v>0</v>
      </c>
      <c r="V495">
        <v>0</v>
      </c>
      <c r="W495">
        <v>0</v>
      </c>
      <c r="X495">
        <v>0</v>
      </c>
      <c r="Y495">
        <v>0</v>
      </c>
      <c r="Z495">
        <v>0</v>
      </c>
      <c r="AA495">
        <v>0</v>
      </c>
      <c r="AB495">
        <v>0</v>
      </c>
      <c r="AC495">
        <v>0</v>
      </c>
      <c r="AD495">
        <v>0</v>
      </c>
      <c r="AE495">
        <v>0</v>
      </c>
      <c r="AF495">
        <v>0</v>
      </c>
      <c r="AG495">
        <v>5.87</v>
      </c>
      <c r="AH495">
        <v>0</v>
      </c>
      <c r="AI495">
        <v>0</v>
      </c>
      <c r="AJ495">
        <v>0</v>
      </c>
      <c r="AK495">
        <v>0</v>
      </c>
      <c r="AL495">
        <v>0</v>
      </c>
      <c r="AM495">
        <v>0</v>
      </c>
      <c r="AN495">
        <v>0</v>
      </c>
      <c r="AO495">
        <v>0</v>
      </c>
      <c r="AP495">
        <v>0</v>
      </c>
      <c r="AQ495">
        <v>62.96</v>
      </c>
      <c r="AR495">
        <v>0</v>
      </c>
      <c r="AS495">
        <v>0</v>
      </c>
      <c r="AT495">
        <v>0</v>
      </c>
      <c r="AU495">
        <v>0</v>
      </c>
      <c r="AV495">
        <v>0</v>
      </c>
      <c r="AW495">
        <v>0</v>
      </c>
      <c r="AX495">
        <v>0</v>
      </c>
      <c r="AY495">
        <v>0</v>
      </c>
      <c r="AZ495">
        <v>0</v>
      </c>
      <c r="BA495">
        <v>0</v>
      </c>
      <c r="BB495">
        <v>0</v>
      </c>
      <c r="BC495">
        <v>0</v>
      </c>
      <c r="BD495">
        <v>0</v>
      </c>
      <c r="BE495">
        <v>0</v>
      </c>
      <c r="BF495">
        <v>0</v>
      </c>
      <c r="BG495">
        <v>0</v>
      </c>
      <c r="BH495">
        <v>1</v>
      </c>
      <c r="BI495">
        <v>2.8</v>
      </c>
      <c r="BJ495">
        <v>6.4</v>
      </c>
      <c r="BK495">
        <v>7</v>
      </c>
      <c r="BL495">
        <v>201.38</v>
      </c>
      <c r="BM495">
        <v>30.21</v>
      </c>
      <c r="BN495">
        <v>231.59</v>
      </c>
      <c r="BO495">
        <v>231.59</v>
      </c>
      <c r="BQ495" t="s">
        <v>1534</v>
      </c>
      <c r="BR495" t="s">
        <v>84</v>
      </c>
      <c r="BS495" t="s">
        <v>176</v>
      </c>
      <c r="BV495" t="s">
        <v>90</v>
      </c>
      <c r="BY495">
        <v>31780.35</v>
      </c>
      <c r="CC495" t="s">
        <v>939</v>
      </c>
      <c r="CD495">
        <v>9835</v>
      </c>
      <c r="CE495" t="s">
        <v>171</v>
      </c>
      <c r="CI495">
        <v>6</v>
      </c>
      <c r="CJ495" t="s">
        <v>176</v>
      </c>
      <c r="CK495">
        <v>43</v>
      </c>
      <c r="CL495" t="s">
        <v>90</v>
      </c>
    </row>
    <row r="496" spans="1:90" x14ac:dyDescent="0.3">
      <c r="A496" t="s">
        <v>72</v>
      </c>
      <c r="B496" t="s">
        <v>73</v>
      </c>
      <c r="C496" t="s">
        <v>74</v>
      </c>
      <c r="E496" t="str">
        <f>"GAB2028108"</f>
        <v>GAB2028108</v>
      </c>
      <c r="F496" s="3">
        <v>45897</v>
      </c>
      <c r="G496">
        <v>202605</v>
      </c>
      <c r="H496" t="s">
        <v>75</v>
      </c>
      <c r="I496" t="s">
        <v>76</v>
      </c>
      <c r="J496" t="s">
        <v>77</v>
      </c>
      <c r="K496" t="s">
        <v>78</v>
      </c>
      <c r="L496" t="s">
        <v>190</v>
      </c>
      <c r="M496" t="s">
        <v>191</v>
      </c>
      <c r="N496" t="s">
        <v>1535</v>
      </c>
      <c r="O496" t="s">
        <v>82</v>
      </c>
      <c r="P496" t="str">
        <f>"INVOICE 001205055 CT096477    "</f>
        <v xml:space="preserve">INVOICE 001205055 CT096477    </v>
      </c>
      <c r="Q496">
        <v>0</v>
      </c>
      <c r="R496">
        <v>0</v>
      </c>
      <c r="S496">
        <v>0</v>
      </c>
      <c r="T496">
        <v>0</v>
      </c>
      <c r="U496">
        <v>0</v>
      </c>
      <c r="V496">
        <v>0</v>
      </c>
      <c r="W496">
        <v>0</v>
      </c>
      <c r="X496">
        <v>0</v>
      </c>
      <c r="Y496">
        <v>0</v>
      </c>
      <c r="Z496">
        <v>0</v>
      </c>
      <c r="AA496">
        <v>0</v>
      </c>
      <c r="AB496">
        <v>0</v>
      </c>
      <c r="AC496">
        <v>0</v>
      </c>
      <c r="AD496">
        <v>0</v>
      </c>
      <c r="AE496">
        <v>0</v>
      </c>
      <c r="AF496">
        <v>0</v>
      </c>
      <c r="AG496">
        <v>5.87</v>
      </c>
      <c r="AH496">
        <v>0</v>
      </c>
      <c r="AI496">
        <v>0</v>
      </c>
      <c r="AJ496">
        <v>0</v>
      </c>
      <c r="AK496">
        <v>0</v>
      </c>
      <c r="AL496">
        <v>0</v>
      </c>
      <c r="AM496">
        <v>0</v>
      </c>
      <c r="AN496">
        <v>0</v>
      </c>
      <c r="AO496">
        <v>0</v>
      </c>
      <c r="AP496">
        <v>0</v>
      </c>
      <c r="AQ496">
        <v>151.53</v>
      </c>
      <c r="AR496">
        <v>0</v>
      </c>
      <c r="AS496">
        <v>0</v>
      </c>
      <c r="AT496">
        <v>0</v>
      </c>
      <c r="AU496">
        <v>0</v>
      </c>
      <c r="AV496">
        <v>0</v>
      </c>
      <c r="AW496">
        <v>0</v>
      </c>
      <c r="AX496">
        <v>0</v>
      </c>
      <c r="AY496">
        <v>0</v>
      </c>
      <c r="AZ496">
        <v>0</v>
      </c>
      <c r="BA496">
        <v>0</v>
      </c>
      <c r="BB496">
        <v>0</v>
      </c>
      <c r="BC496">
        <v>0</v>
      </c>
      <c r="BD496">
        <v>0</v>
      </c>
      <c r="BE496">
        <v>0</v>
      </c>
      <c r="BF496">
        <v>0</v>
      </c>
      <c r="BG496">
        <v>0</v>
      </c>
      <c r="BH496">
        <v>9</v>
      </c>
      <c r="BI496">
        <v>40.6</v>
      </c>
      <c r="BJ496">
        <v>72.5</v>
      </c>
      <c r="BK496">
        <v>73</v>
      </c>
      <c r="BL496">
        <v>476.42</v>
      </c>
      <c r="BM496">
        <v>71.459999999999994</v>
      </c>
      <c r="BN496">
        <v>547.88</v>
      </c>
      <c r="BO496">
        <v>547.88</v>
      </c>
      <c r="BQ496" t="s">
        <v>1536</v>
      </c>
      <c r="BR496" t="s">
        <v>84</v>
      </c>
      <c r="BS496" t="s">
        <v>176</v>
      </c>
      <c r="BV496" t="s">
        <v>90</v>
      </c>
      <c r="BY496">
        <v>362551.96</v>
      </c>
      <c r="CC496" t="s">
        <v>191</v>
      </c>
      <c r="CD496" s="5" t="s">
        <v>196</v>
      </c>
      <c r="CE496" t="s">
        <v>1537</v>
      </c>
      <c r="CI496">
        <v>3</v>
      </c>
      <c r="CJ496" t="s">
        <v>176</v>
      </c>
      <c r="CK496">
        <v>41</v>
      </c>
      <c r="CL496" t="s">
        <v>90</v>
      </c>
    </row>
    <row r="497" spans="1:90" x14ac:dyDescent="0.3">
      <c r="A497" t="s">
        <v>72</v>
      </c>
      <c r="B497" t="s">
        <v>73</v>
      </c>
      <c r="C497" t="s">
        <v>74</v>
      </c>
      <c r="E497" t="str">
        <f>"GAB2028104"</f>
        <v>GAB2028104</v>
      </c>
      <c r="F497" s="3">
        <v>45897</v>
      </c>
      <c r="G497">
        <v>202605</v>
      </c>
      <c r="H497" t="s">
        <v>75</v>
      </c>
      <c r="I497" t="s">
        <v>76</v>
      </c>
      <c r="J497" t="s">
        <v>77</v>
      </c>
      <c r="K497" t="s">
        <v>78</v>
      </c>
      <c r="L497" t="s">
        <v>832</v>
      </c>
      <c r="M497" t="s">
        <v>833</v>
      </c>
      <c r="N497" t="s">
        <v>1538</v>
      </c>
      <c r="O497" t="s">
        <v>82</v>
      </c>
      <c r="P497" t="str">
        <f>"INVOICE 00120500 CT096862     "</f>
        <v xml:space="preserve">INVOICE 00120500 CT096862     </v>
      </c>
      <c r="Q497">
        <v>0</v>
      </c>
      <c r="R497">
        <v>0</v>
      </c>
      <c r="S497">
        <v>0</v>
      </c>
      <c r="T497">
        <v>0</v>
      </c>
      <c r="U497">
        <v>0</v>
      </c>
      <c r="V497">
        <v>0</v>
      </c>
      <c r="W497">
        <v>0</v>
      </c>
      <c r="X497">
        <v>0</v>
      </c>
      <c r="Y497">
        <v>0</v>
      </c>
      <c r="Z497">
        <v>0</v>
      </c>
      <c r="AA497">
        <v>0</v>
      </c>
      <c r="AB497">
        <v>0</v>
      </c>
      <c r="AC497">
        <v>0</v>
      </c>
      <c r="AD497">
        <v>0</v>
      </c>
      <c r="AE497">
        <v>0</v>
      </c>
      <c r="AF497">
        <v>0</v>
      </c>
      <c r="AG497">
        <v>5.87</v>
      </c>
      <c r="AH497">
        <v>0</v>
      </c>
      <c r="AI497">
        <v>0</v>
      </c>
      <c r="AJ497">
        <v>0</v>
      </c>
      <c r="AK497">
        <v>0</v>
      </c>
      <c r="AL497">
        <v>0</v>
      </c>
      <c r="AM497">
        <v>0</v>
      </c>
      <c r="AN497">
        <v>0</v>
      </c>
      <c r="AO497">
        <v>0</v>
      </c>
      <c r="AP497">
        <v>0</v>
      </c>
      <c r="AQ497">
        <v>62.96</v>
      </c>
      <c r="AR497">
        <v>0</v>
      </c>
      <c r="AS497">
        <v>0</v>
      </c>
      <c r="AT497">
        <v>0</v>
      </c>
      <c r="AU497">
        <v>0</v>
      </c>
      <c r="AV497">
        <v>0</v>
      </c>
      <c r="AW497">
        <v>0</v>
      </c>
      <c r="AX497">
        <v>0</v>
      </c>
      <c r="AY497">
        <v>0</v>
      </c>
      <c r="AZ497">
        <v>0</v>
      </c>
      <c r="BA497">
        <v>0</v>
      </c>
      <c r="BB497">
        <v>0</v>
      </c>
      <c r="BC497">
        <v>0</v>
      </c>
      <c r="BD497">
        <v>0</v>
      </c>
      <c r="BE497">
        <v>0</v>
      </c>
      <c r="BF497">
        <v>0</v>
      </c>
      <c r="BG497">
        <v>0</v>
      </c>
      <c r="BH497">
        <v>1</v>
      </c>
      <c r="BI497">
        <v>1.7</v>
      </c>
      <c r="BJ497">
        <v>6</v>
      </c>
      <c r="BK497">
        <v>6</v>
      </c>
      <c r="BL497">
        <v>201.38</v>
      </c>
      <c r="BM497">
        <v>30.21</v>
      </c>
      <c r="BN497">
        <v>231.59</v>
      </c>
      <c r="BO497">
        <v>231.59</v>
      </c>
      <c r="BQ497" t="s">
        <v>1539</v>
      </c>
      <c r="BR497" t="s">
        <v>84</v>
      </c>
      <c r="BS497" t="s">
        <v>176</v>
      </c>
      <c r="BV497" t="s">
        <v>90</v>
      </c>
      <c r="BY497">
        <v>29982.89</v>
      </c>
      <c r="CC497" t="s">
        <v>833</v>
      </c>
      <c r="CD497">
        <v>1911</v>
      </c>
      <c r="CE497" t="s">
        <v>1484</v>
      </c>
      <c r="CI497">
        <v>2</v>
      </c>
      <c r="CJ497" t="s">
        <v>176</v>
      </c>
      <c r="CK497">
        <v>43</v>
      </c>
      <c r="CL497" t="s">
        <v>90</v>
      </c>
    </row>
    <row r="498" spans="1:90" x14ac:dyDescent="0.3">
      <c r="A498" t="s">
        <v>72</v>
      </c>
      <c r="B498" t="s">
        <v>73</v>
      </c>
      <c r="C498" t="s">
        <v>74</v>
      </c>
      <c r="E498" t="str">
        <f>"GAB2028112"</f>
        <v>GAB2028112</v>
      </c>
      <c r="F498" s="3">
        <v>45897</v>
      </c>
      <c r="G498">
        <v>202605</v>
      </c>
      <c r="H498" t="s">
        <v>75</v>
      </c>
      <c r="I498" t="s">
        <v>76</v>
      </c>
      <c r="J498" t="s">
        <v>77</v>
      </c>
      <c r="K498" t="s">
        <v>78</v>
      </c>
      <c r="L498" t="s">
        <v>190</v>
      </c>
      <c r="M498" t="s">
        <v>191</v>
      </c>
      <c r="N498" t="s">
        <v>257</v>
      </c>
      <c r="O498" t="s">
        <v>82</v>
      </c>
      <c r="P498" t="str">
        <f>"KIM                           "</f>
        <v xml:space="preserve">KIM                           </v>
      </c>
      <c r="Q498">
        <v>0</v>
      </c>
      <c r="R498">
        <v>0</v>
      </c>
      <c r="S498">
        <v>0</v>
      </c>
      <c r="T498">
        <v>0</v>
      </c>
      <c r="U498">
        <v>0</v>
      </c>
      <c r="V498">
        <v>0</v>
      </c>
      <c r="W498">
        <v>0</v>
      </c>
      <c r="X498">
        <v>0</v>
      </c>
      <c r="Y498">
        <v>0</v>
      </c>
      <c r="Z498">
        <v>0</v>
      </c>
      <c r="AA498">
        <v>0</v>
      </c>
      <c r="AB498">
        <v>0</v>
      </c>
      <c r="AC498">
        <v>0</v>
      </c>
      <c r="AD498">
        <v>0</v>
      </c>
      <c r="AE498">
        <v>0</v>
      </c>
      <c r="AF498">
        <v>0</v>
      </c>
      <c r="AG498">
        <v>5.87</v>
      </c>
      <c r="AH498">
        <v>0</v>
      </c>
      <c r="AI498">
        <v>0</v>
      </c>
      <c r="AJ498">
        <v>0</v>
      </c>
      <c r="AK498">
        <v>0</v>
      </c>
      <c r="AL498">
        <v>0</v>
      </c>
      <c r="AM498">
        <v>0</v>
      </c>
      <c r="AN498">
        <v>0</v>
      </c>
      <c r="AO498">
        <v>0</v>
      </c>
      <c r="AP498">
        <v>0</v>
      </c>
      <c r="AQ498">
        <v>44.64</v>
      </c>
      <c r="AR498">
        <v>0</v>
      </c>
      <c r="AS498">
        <v>0</v>
      </c>
      <c r="AT498">
        <v>0</v>
      </c>
      <c r="AU498">
        <v>0</v>
      </c>
      <c r="AV498">
        <v>0</v>
      </c>
      <c r="AW498">
        <v>0</v>
      </c>
      <c r="AX498">
        <v>0</v>
      </c>
      <c r="AY498">
        <v>0</v>
      </c>
      <c r="AZ498">
        <v>0</v>
      </c>
      <c r="BA498">
        <v>0</v>
      </c>
      <c r="BB498">
        <v>0</v>
      </c>
      <c r="BC498">
        <v>0</v>
      </c>
      <c r="BD498">
        <v>0</v>
      </c>
      <c r="BE498">
        <v>0</v>
      </c>
      <c r="BF498">
        <v>0</v>
      </c>
      <c r="BG498">
        <v>0</v>
      </c>
      <c r="BH498">
        <v>1</v>
      </c>
      <c r="BI498">
        <v>1.7</v>
      </c>
      <c r="BJ498">
        <v>1.7</v>
      </c>
      <c r="BK498">
        <v>2</v>
      </c>
      <c r="BL498">
        <v>144.49</v>
      </c>
      <c r="BM498">
        <v>21.67</v>
      </c>
      <c r="BN498">
        <v>166.16</v>
      </c>
      <c r="BO498">
        <v>166.16</v>
      </c>
      <c r="BQ498" t="s">
        <v>1540</v>
      </c>
      <c r="BR498" t="s">
        <v>84</v>
      </c>
      <c r="BS498" t="s">
        <v>176</v>
      </c>
      <c r="BV498" t="s">
        <v>90</v>
      </c>
      <c r="BY498">
        <v>8682.24</v>
      </c>
      <c r="CC498" t="s">
        <v>191</v>
      </c>
      <c r="CD498" s="5" t="s">
        <v>196</v>
      </c>
      <c r="CE498" t="s">
        <v>1484</v>
      </c>
      <c r="CI498">
        <v>3</v>
      </c>
      <c r="CJ498" t="s">
        <v>176</v>
      </c>
      <c r="CK498">
        <v>41</v>
      </c>
      <c r="CL498" t="s">
        <v>90</v>
      </c>
    </row>
    <row r="499" spans="1:90" x14ac:dyDescent="0.3">
      <c r="A499" t="s">
        <v>72</v>
      </c>
      <c r="B499" t="s">
        <v>73</v>
      </c>
      <c r="C499" t="s">
        <v>74</v>
      </c>
      <c r="E499" t="str">
        <f>"GAB2028113"</f>
        <v>GAB2028113</v>
      </c>
      <c r="F499" s="3">
        <v>45897</v>
      </c>
      <c r="G499">
        <v>202605</v>
      </c>
      <c r="H499" t="s">
        <v>75</v>
      </c>
      <c r="I499" t="s">
        <v>76</v>
      </c>
      <c r="J499" t="s">
        <v>77</v>
      </c>
      <c r="K499" t="s">
        <v>78</v>
      </c>
      <c r="L499" t="s">
        <v>118</v>
      </c>
      <c r="M499" t="s">
        <v>119</v>
      </c>
      <c r="N499" t="s">
        <v>1541</v>
      </c>
      <c r="O499" t="s">
        <v>82</v>
      </c>
      <c r="P499" t="str">
        <f>"035853 860 862 856 852 855 859"</f>
        <v>035853 860 862 856 852 855 859</v>
      </c>
      <c r="Q499">
        <v>0</v>
      </c>
      <c r="R499">
        <v>0</v>
      </c>
      <c r="S499">
        <v>0</v>
      </c>
      <c r="T499">
        <v>0</v>
      </c>
      <c r="U499">
        <v>0</v>
      </c>
      <c r="V499">
        <v>0</v>
      </c>
      <c r="W499">
        <v>0</v>
      </c>
      <c r="X499">
        <v>0</v>
      </c>
      <c r="Y499">
        <v>0</v>
      </c>
      <c r="Z499">
        <v>0</v>
      </c>
      <c r="AA499">
        <v>0</v>
      </c>
      <c r="AB499">
        <v>0</v>
      </c>
      <c r="AC499">
        <v>0</v>
      </c>
      <c r="AD499">
        <v>0</v>
      </c>
      <c r="AE499">
        <v>0</v>
      </c>
      <c r="AF499">
        <v>0</v>
      </c>
      <c r="AG499">
        <v>5.87</v>
      </c>
      <c r="AH499">
        <v>0</v>
      </c>
      <c r="AI499">
        <v>0</v>
      </c>
      <c r="AJ499">
        <v>0</v>
      </c>
      <c r="AK499">
        <v>0</v>
      </c>
      <c r="AL499">
        <v>0</v>
      </c>
      <c r="AM499">
        <v>0</v>
      </c>
      <c r="AN499">
        <v>0</v>
      </c>
      <c r="AO499">
        <v>0</v>
      </c>
      <c r="AP499">
        <v>0</v>
      </c>
      <c r="AQ499">
        <v>122.05</v>
      </c>
      <c r="AR499">
        <v>0</v>
      </c>
      <c r="AS499">
        <v>0</v>
      </c>
      <c r="AT499">
        <v>0</v>
      </c>
      <c r="AU499">
        <v>0</v>
      </c>
      <c r="AV499">
        <v>0</v>
      </c>
      <c r="AW499">
        <v>0</v>
      </c>
      <c r="AX499">
        <v>0</v>
      </c>
      <c r="AY499">
        <v>0</v>
      </c>
      <c r="AZ499">
        <v>0</v>
      </c>
      <c r="BA499">
        <v>0</v>
      </c>
      <c r="BB499">
        <v>0</v>
      </c>
      <c r="BC499">
        <v>0</v>
      </c>
      <c r="BD499">
        <v>0</v>
      </c>
      <c r="BE499">
        <v>0</v>
      </c>
      <c r="BF499">
        <v>0</v>
      </c>
      <c r="BG499">
        <v>0</v>
      </c>
      <c r="BH499">
        <v>3</v>
      </c>
      <c r="BI499">
        <v>23.1</v>
      </c>
      <c r="BJ499">
        <v>56.3</v>
      </c>
      <c r="BK499">
        <v>57</v>
      </c>
      <c r="BL499">
        <v>384.86</v>
      </c>
      <c r="BM499">
        <v>57.73</v>
      </c>
      <c r="BN499">
        <v>442.59</v>
      </c>
      <c r="BO499">
        <v>442.59</v>
      </c>
      <c r="BQ499" t="s">
        <v>168</v>
      </c>
      <c r="BR499" t="s">
        <v>84</v>
      </c>
      <c r="BS499" t="s">
        <v>176</v>
      </c>
      <c r="BV499" t="s">
        <v>90</v>
      </c>
      <c r="BY499">
        <v>281478.23</v>
      </c>
      <c r="CC499" t="s">
        <v>119</v>
      </c>
      <c r="CD499" s="5" t="s">
        <v>1542</v>
      </c>
      <c r="CE499" t="s">
        <v>171</v>
      </c>
      <c r="CI499">
        <v>3</v>
      </c>
      <c r="CJ499" t="s">
        <v>176</v>
      </c>
      <c r="CK499">
        <v>41</v>
      </c>
      <c r="CL499" t="s">
        <v>90</v>
      </c>
    </row>
    <row r="500" spans="1:90" x14ac:dyDescent="0.3">
      <c r="A500" t="s">
        <v>72</v>
      </c>
      <c r="B500" t="s">
        <v>73</v>
      </c>
      <c r="C500" t="s">
        <v>74</v>
      </c>
      <c r="E500" t="str">
        <f>"GAB2028116"</f>
        <v>GAB2028116</v>
      </c>
      <c r="F500" s="3">
        <v>45897</v>
      </c>
      <c r="G500">
        <v>202605</v>
      </c>
      <c r="H500" t="s">
        <v>75</v>
      </c>
      <c r="I500" t="s">
        <v>76</v>
      </c>
      <c r="J500" t="s">
        <v>77</v>
      </c>
      <c r="K500" t="s">
        <v>78</v>
      </c>
      <c r="L500" t="s">
        <v>190</v>
      </c>
      <c r="M500" t="s">
        <v>191</v>
      </c>
      <c r="N500" t="s">
        <v>192</v>
      </c>
      <c r="O500" t="s">
        <v>82</v>
      </c>
      <c r="P500" t="str">
        <f>"INVOICE 00120501 CT096863     "</f>
        <v xml:space="preserve">INVOICE 00120501 CT096863     </v>
      </c>
      <c r="Q500">
        <v>0</v>
      </c>
      <c r="R500">
        <v>0</v>
      </c>
      <c r="S500">
        <v>0</v>
      </c>
      <c r="T500">
        <v>0</v>
      </c>
      <c r="U500">
        <v>0</v>
      </c>
      <c r="V500">
        <v>0</v>
      </c>
      <c r="W500">
        <v>0</v>
      </c>
      <c r="X500">
        <v>0</v>
      </c>
      <c r="Y500">
        <v>0</v>
      </c>
      <c r="Z500">
        <v>0</v>
      </c>
      <c r="AA500">
        <v>0</v>
      </c>
      <c r="AB500">
        <v>0</v>
      </c>
      <c r="AC500">
        <v>0</v>
      </c>
      <c r="AD500">
        <v>0</v>
      </c>
      <c r="AE500">
        <v>0</v>
      </c>
      <c r="AF500">
        <v>0</v>
      </c>
      <c r="AG500">
        <v>5.87</v>
      </c>
      <c r="AH500">
        <v>0</v>
      </c>
      <c r="AI500">
        <v>0</v>
      </c>
      <c r="AJ500">
        <v>0</v>
      </c>
      <c r="AK500">
        <v>0</v>
      </c>
      <c r="AL500">
        <v>0</v>
      </c>
      <c r="AM500">
        <v>0</v>
      </c>
      <c r="AN500">
        <v>0</v>
      </c>
      <c r="AO500">
        <v>0</v>
      </c>
      <c r="AP500">
        <v>0</v>
      </c>
      <c r="AQ500">
        <v>87.03</v>
      </c>
      <c r="AR500">
        <v>0</v>
      </c>
      <c r="AS500">
        <v>0</v>
      </c>
      <c r="AT500">
        <v>0</v>
      </c>
      <c r="AU500">
        <v>0</v>
      </c>
      <c r="AV500">
        <v>0</v>
      </c>
      <c r="AW500">
        <v>0</v>
      </c>
      <c r="AX500">
        <v>0</v>
      </c>
      <c r="AY500">
        <v>0</v>
      </c>
      <c r="AZ500">
        <v>0</v>
      </c>
      <c r="BA500">
        <v>0</v>
      </c>
      <c r="BB500">
        <v>0</v>
      </c>
      <c r="BC500">
        <v>0</v>
      </c>
      <c r="BD500">
        <v>0</v>
      </c>
      <c r="BE500">
        <v>0</v>
      </c>
      <c r="BF500">
        <v>0</v>
      </c>
      <c r="BG500">
        <v>0</v>
      </c>
      <c r="BH500">
        <v>2</v>
      </c>
      <c r="BI500">
        <v>17.399999999999999</v>
      </c>
      <c r="BJ500">
        <v>37.9</v>
      </c>
      <c r="BK500">
        <v>38</v>
      </c>
      <c r="BL500">
        <v>276.12</v>
      </c>
      <c r="BM500">
        <v>41.42</v>
      </c>
      <c r="BN500">
        <v>317.54000000000002</v>
      </c>
      <c r="BO500">
        <v>317.54000000000002</v>
      </c>
      <c r="BR500" t="s">
        <v>84</v>
      </c>
      <c r="BS500" t="s">
        <v>176</v>
      </c>
      <c r="BV500" t="s">
        <v>90</v>
      </c>
      <c r="BY500">
        <v>189568.85</v>
      </c>
      <c r="CC500" t="s">
        <v>191</v>
      </c>
      <c r="CD500" s="5" t="s">
        <v>196</v>
      </c>
      <c r="CE500" t="s">
        <v>171</v>
      </c>
      <c r="CI500">
        <v>3</v>
      </c>
      <c r="CJ500" t="s">
        <v>176</v>
      </c>
      <c r="CK500">
        <v>41</v>
      </c>
      <c r="CL500" t="s">
        <v>90</v>
      </c>
    </row>
    <row r="501" spans="1:90" x14ac:dyDescent="0.3">
      <c r="A501" t="s">
        <v>72</v>
      </c>
      <c r="B501" t="s">
        <v>73</v>
      </c>
      <c r="C501" t="s">
        <v>74</v>
      </c>
      <c r="E501" t="str">
        <f>"GAB2028117"</f>
        <v>GAB2028117</v>
      </c>
      <c r="F501" s="3">
        <v>45897</v>
      </c>
      <c r="G501">
        <v>202605</v>
      </c>
      <c r="H501" t="s">
        <v>75</v>
      </c>
      <c r="I501" t="s">
        <v>76</v>
      </c>
      <c r="J501" t="s">
        <v>77</v>
      </c>
      <c r="K501" t="s">
        <v>78</v>
      </c>
      <c r="L501" t="s">
        <v>91</v>
      </c>
      <c r="M501" t="s">
        <v>92</v>
      </c>
      <c r="N501" t="s">
        <v>1543</v>
      </c>
      <c r="O501" t="s">
        <v>82</v>
      </c>
      <c r="P501" t="str">
        <f>"INGM00120523 CT096805         "</f>
        <v xml:space="preserve">INGM00120523 CT096805         </v>
      </c>
      <c r="Q501">
        <v>0</v>
      </c>
      <c r="R501">
        <v>0</v>
      </c>
      <c r="S501">
        <v>0</v>
      </c>
      <c r="T501">
        <v>0</v>
      </c>
      <c r="U501">
        <v>0</v>
      </c>
      <c r="V501">
        <v>0</v>
      </c>
      <c r="W501">
        <v>0</v>
      </c>
      <c r="X501">
        <v>0</v>
      </c>
      <c r="Y501">
        <v>0</v>
      </c>
      <c r="Z501">
        <v>0</v>
      </c>
      <c r="AA501">
        <v>0</v>
      </c>
      <c r="AB501">
        <v>0</v>
      </c>
      <c r="AC501">
        <v>0</v>
      </c>
      <c r="AD501">
        <v>0</v>
      </c>
      <c r="AE501">
        <v>0</v>
      </c>
      <c r="AF501">
        <v>0</v>
      </c>
      <c r="AG501">
        <v>5.87</v>
      </c>
      <c r="AH501">
        <v>0</v>
      </c>
      <c r="AI501">
        <v>0</v>
      </c>
      <c r="AJ501">
        <v>0</v>
      </c>
      <c r="AK501">
        <v>0</v>
      </c>
      <c r="AL501">
        <v>0</v>
      </c>
      <c r="AM501">
        <v>0</v>
      </c>
      <c r="AN501">
        <v>0</v>
      </c>
      <c r="AO501">
        <v>0</v>
      </c>
      <c r="AP501">
        <v>0</v>
      </c>
      <c r="AQ501">
        <v>44.64</v>
      </c>
      <c r="AR501">
        <v>0</v>
      </c>
      <c r="AS501">
        <v>0</v>
      </c>
      <c r="AT501">
        <v>0</v>
      </c>
      <c r="AU501">
        <v>0</v>
      </c>
      <c r="AV501">
        <v>0</v>
      </c>
      <c r="AW501">
        <v>0</v>
      </c>
      <c r="AX501">
        <v>0</v>
      </c>
      <c r="AY501">
        <v>0</v>
      </c>
      <c r="AZ501">
        <v>0</v>
      </c>
      <c r="BA501">
        <v>0</v>
      </c>
      <c r="BB501">
        <v>0</v>
      </c>
      <c r="BC501">
        <v>0</v>
      </c>
      <c r="BD501">
        <v>0</v>
      </c>
      <c r="BE501">
        <v>0</v>
      </c>
      <c r="BF501">
        <v>0</v>
      </c>
      <c r="BG501">
        <v>0</v>
      </c>
      <c r="BH501">
        <v>1</v>
      </c>
      <c r="BI501">
        <v>2.2999999999999998</v>
      </c>
      <c r="BJ501">
        <v>6.1</v>
      </c>
      <c r="BK501">
        <v>7</v>
      </c>
      <c r="BL501">
        <v>144.49</v>
      </c>
      <c r="BM501">
        <v>21.67</v>
      </c>
      <c r="BN501">
        <v>166.16</v>
      </c>
      <c r="BO501">
        <v>166.16</v>
      </c>
      <c r="BQ501" t="s">
        <v>1544</v>
      </c>
      <c r="BR501" t="s">
        <v>84</v>
      </c>
      <c r="BS501" t="s">
        <v>176</v>
      </c>
      <c r="BV501" t="s">
        <v>90</v>
      </c>
      <c r="BY501">
        <v>30561.3</v>
      </c>
      <c r="CC501" t="s">
        <v>92</v>
      </c>
      <c r="CD501">
        <v>4001</v>
      </c>
      <c r="CE501" t="s">
        <v>1484</v>
      </c>
      <c r="CI501">
        <v>3</v>
      </c>
      <c r="CJ501" t="s">
        <v>176</v>
      </c>
      <c r="CK501">
        <v>41</v>
      </c>
      <c r="CL501" t="s">
        <v>90</v>
      </c>
    </row>
    <row r="502" spans="1:90" x14ac:dyDescent="0.3">
      <c r="A502" t="s">
        <v>72</v>
      </c>
      <c r="B502" t="s">
        <v>73</v>
      </c>
      <c r="C502" t="s">
        <v>74</v>
      </c>
      <c r="E502" t="str">
        <f>"GAB2028118"</f>
        <v>GAB2028118</v>
      </c>
      <c r="F502" s="3">
        <v>45897</v>
      </c>
      <c r="G502">
        <v>202605</v>
      </c>
      <c r="H502" t="s">
        <v>75</v>
      </c>
      <c r="I502" t="s">
        <v>76</v>
      </c>
      <c r="J502" t="s">
        <v>77</v>
      </c>
      <c r="K502" t="s">
        <v>78</v>
      </c>
      <c r="L502" t="s">
        <v>91</v>
      </c>
      <c r="M502" t="s">
        <v>92</v>
      </c>
      <c r="N502" t="s">
        <v>515</v>
      </c>
      <c r="O502" t="s">
        <v>82</v>
      </c>
      <c r="P502" t="str">
        <f>"INVOICE 00120508 ORDGS035865  "</f>
        <v xml:space="preserve">INVOICE 00120508 ORDGS035865  </v>
      </c>
      <c r="Q502">
        <v>0</v>
      </c>
      <c r="R502">
        <v>0</v>
      </c>
      <c r="S502">
        <v>0</v>
      </c>
      <c r="T502">
        <v>0</v>
      </c>
      <c r="U502">
        <v>0</v>
      </c>
      <c r="V502">
        <v>0</v>
      </c>
      <c r="W502">
        <v>0</v>
      </c>
      <c r="X502">
        <v>0</v>
      </c>
      <c r="Y502">
        <v>0</v>
      </c>
      <c r="Z502">
        <v>0</v>
      </c>
      <c r="AA502">
        <v>0</v>
      </c>
      <c r="AB502">
        <v>0</v>
      </c>
      <c r="AC502">
        <v>0</v>
      </c>
      <c r="AD502">
        <v>0</v>
      </c>
      <c r="AE502">
        <v>0</v>
      </c>
      <c r="AF502">
        <v>0</v>
      </c>
      <c r="AG502">
        <v>5.87</v>
      </c>
      <c r="AH502">
        <v>0</v>
      </c>
      <c r="AI502">
        <v>0</v>
      </c>
      <c r="AJ502">
        <v>0</v>
      </c>
      <c r="AK502">
        <v>0</v>
      </c>
      <c r="AL502">
        <v>0</v>
      </c>
      <c r="AM502">
        <v>0</v>
      </c>
      <c r="AN502">
        <v>0</v>
      </c>
      <c r="AO502">
        <v>0</v>
      </c>
      <c r="AP502">
        <v>0</v>
      </c>
      <c r="AQ502">
        <v>44.64</v>
      </c>
      <c r="AR502">
        <v>0</v>
      </c>
      <c r="AS502">
        <v>0</v>
      </c>
      <c r="AT502">
        <v>0</v>
      </c>
      <c r="AU502">
        <v>0</v>
      </c>
      <c r="AV502">
        <v>0</v>
      </c>
      <c r="AW502">
        <v>0</v>
      </c>
      <c r="AX502">
        <v>0</v>
      </c>
      <c r="AY502">
        <v>0</v>
      </c>
      <c r="AZ502">
        <v>0</v>
      </c>
      <c r="BA502">
        <v>0</v>
      </c>
      <c r="BB502">
        <v>0</v>
      </c>
      <c r="BC502">
        <v>0</v>
      </c>
      <c r="BD502">
        <v>0</v>
      </c>
      <c r="BE502">
        <v>0</v>
      </c>
      <c r="BF502">
        <v>0</v>
      </c>
      <c r="BG502">
        <v>0</v>
      </c>
      <c r="BH502">
        <v>1</v>
      </c>
      <c r="BI502">
        <v>1.9</v>
      </c>
      <c r="BJ502">
        <v>6.5</v>
      </c>
      <c r="BK502">
        <v>7</v>
      </c>
      <c r="BL502">
        <v>144.49</v>
      </c>
      <c r="BM502">
        <v>21.67</v>
      </c>
      <c r="BN502">
        <v>166.16</v>
      </c>
      <c r="BO502">
        <v>166.16</v>
      </c>
      <c r="BQ502" t="s">
        <v>168</v>
      </c>
      <c r="BR502" t="s">
        <v>84</v>
      </c>
      <c r="BS502" t="s">
        <v>176</v>
      </c>
      <c r="BV502" t="s">
        <v>90</v>
      </c>
      <c r="BY502">
        <v>32319</v>
      </c>
      <c r="CC502" t="s">
        <v>92</v>
      </c>
      <c r="CD502">
        <v>4001</v>
      </c>
      <c r="CE502" t="s">
        <v>171</v>
      </c>
      <c r="CI502">
        <v>3</v>
      </c>
      <c r="CJ502" t="s">
        <v>176</v>
      </c>
      <c r="CK502">
        <v>41</v>
      </c>
      <c r="CL502" t="s">
        <v>90</v>
      </c>
    </row>
    <row r="503" spans="1:90" x14ac:dyDescent="0.3">
      <c r="A503" t="s">
        <v>72</v>
      </c>
      <c r="B503" t="s">
        <v>73</v>
      </c>
      <c r="C503" t="s">
        <v>74</v>
      </c>
      <c r="E503" t="str">
        <f>"GAB2028119"</f>
        <v>GAB2028119</v>
      </c>
      <c r="F503" s="3">
        <v>45897</v>
      </c>
      <c r="G503">
        <v>202605</v>
      </c>
      <c r="H503" t="s">
        <v>75</v>
      </c>
      <c r="I503" t="s">
        <v>76</v>
      </c>
      <c r="J503" t="s">
        <v>77</v>
      </c>
      <c r="K503" t="s">
        <v>78</v>
      </c>
      <c r="L503" t="s">
        <v>177</v>
      </c>
      <c r="M503" t="s">
        <v>178</v>
      </c>
      <c r="N503" t="s">
        <v>179</v>
      </c>
      <c r="O503" t="s">
        <v>82</v>
      </c>
      <c r="P503" t="str">
        <f>"INVOICE 00120509 ORDGS035864  "</f>
        <v xml:space="preserve">INVOICE 00120509 ORDGS035864  </v>
      </c>
      <c r="Q503">
        <v>0</v>
      </c>
      <c r="R503">
        <v>0</v>
      </c>
      <c r="S503">
        <v>0</v>
      </c>
      <c r="T503">
        <v>0</v>
      </c>
      <c r="U503">
        <v>0</v>
      </c>
      <c r="V503">
        <v>0</v>
      </c>
      <c r="W503">
        <v>0</v>
      </c>
      <c r="X503">
        <v>0</v>
      </c>
      <c r="Y503">
        <v>0</v>
      </c>
      <c r="Z503">
        <v>0</v>
      </c>
      <c r="AA503">
        <v>0</v>
      </c>
      <c r="AB503">
        <v>0</v>
      </c>
      <c r="AC503">
        <v>0</v>
      </c>
      <c r="AD503">
        <v>0</v>
      </c>
      <c r="AE503">
        <v>0</v>
      </c>
      <c r="AF503">
        <v>0</v>
      </c>
      <c r="AG503">
        <v>5.87</v>
      </c>
      <c r="AH503">
        <v>0</v>
      </c>
      <c r="AI503">
        <v>0</v>
      </c>
      <c r="AJ503">
        <v>0</v>
      </c>
      <c r="AK503">
        <v>0</v>
      </c>
      <c r="AL503">
        <v>0</v>
      </c>
      <c r="AM503">
        <v>0</v>
      </c>
      <c r="AN503">
        <v>0</v>
      </c>
      <c r="AO503">
        <v>0</v>
      </c>
      <c r="AP503">
        <v>0</v>
      </c>
      <c r="AQ503">
        <v>62.96</v>
      </c>
      <c r="AR503">
        <v>0</v>
      </c>
      <c r="AS503">
        <v>0</v>
      </c>
      <c r="AT503">
        <v>0</v>
      </c>
      <c r="AU503">
        <v>0</v>
      </c>
      <c r="AV503">
        <v>0</v>
      </c>
      <c r="AW503">
        <v>0</v>
      </c>
      <c r="AX503">
        <v>0</v>
      </c>
      <c r="AY503">
        <v>0</v>
      </c>
      <c r="AZ503">
        <v>0</v>
      </c>
      <c r="BA503">
        <v>0</v>
      </c>
      <c r="BB503">
        <v>0</v>
      </c>
      <c r="BC503">
        <v>0</v>
      </c>
      <c r="BD503">
        <v>0</v>
      </c>
      <c r="BE503">
        <v>0</v>
      </c>
      <c r="BF503">
        <v>0</v>
      </c>
      <c r="BG503">
        <v>0</v>
      </c>
      <c r="BH503">
        <v>1</v>
      </c>
      <c r="BI503">
        <v>4.2</v>
      </c>
      <c r="BJ503">
        <v>13.3</v>
      </c>
      <c r="BK503">
        <v>14</v>
      </c>
      <c r="BL503">
        <v>201.38</v>
      </c>
      <c r="BM503">
        <v>30.21</v>
      </c>
      <c r="BN503">
        <v>231.59</v>
      </c>
      <c r="BO503">
        <v>231.59</v>
      </c>
      <c r="BQ503" t="s">
        <v>175</v>
      </c>
      <c r="BR503" t="s">
        <v>84</v>
      </c>
      <c r="BS503" t="s">
        <v>176</v>
      </c>
      <c r="BV503" t="s">
        <v>90</v>
      </c>
      <c r="BY503">
        <v>66415.8</v>
      </c>
      <c r="CC503" t="s">
        <v>178</v>
      </c>
      <c r="CD503">
        <v>1050</v>
      </c>
      <c r="CE503" t="s">
        <v>171</v>
      </c>
      <c r="CI503">
        <v>2</v>
      </c>
      <c r="CJ503" t="s">
        <v>176</v>
      </c>
      <c r="CK503">
        <v>43</v>
      </c>
      <c r="CL503" t="s">
        <v>90</v>
      </c>
    </row>
    <row r="504" spans="1:90" x14ac:dyDescent="0.3">
      <c r="A504" t="s">
        <v>72</v>
      </c>
      <c r="B504" t="s">
        <v>73</v>
      </c>
      <c r="C504" t="s">
        <v>74</v>
      </c>
      <c r="E504" t="str">
        <f>"GAB2028121"</f>
        <v>GAB2028121</v>
      </c>
      <c r="F504" s="3">
        <v>45897</v>
      </c>
      <c r="G504">
        <v>202605</v>
      </c>
      <c r="H504" t="s">
        <v>75</v>
      </c>
      <c r="I504" t="s">
        <v>76</v>
      </c>
      <c r="J504" t="s">
        <v>77</v>
      </c>
      <c r="K504" t="s">
        <v>78</v>
      </c>
      <c r="L504" t="s">
        <v>118</v>
      </c>
      <c r="M504" t="s">
        <v>119</v>
      </c>
      <c r="N504" t="s">
        <v>214</v>
      </c>
      <c r="O504" t="s">
        <v>82</v>
      </c>
      <c r="P504" t="str">
        <f>"INVOICE 00120522 CT096843     "</f>
        <v xml:space="preserve">INVOICE 00120522 CT096843     </v>
      </c>
      <c r="Q504">
        <v>0</v>
      </c>
      <c r="R504">
        <v>0</v>
      </c>
      <c r="S504">
        <v>0</v>
      </c>
      <c r="T504">
        <v>0</v>
      </c>
      <c r="U504">
        <v>0</v>
      </c>
      <c r="V504">
        <v>0</v>
      </c>
      <c r="W504">
        <v>0</v>
      </c>
      <c r="X504">
        <v>0</v>
      </c>
      <c r="Y504">
        <v>0</v>
      </c>
      <c r="Z504">
        <v>0</v>
      </c>
      <c r="AA504">
        <v>0</v>
      </c>
      <c r="AB504">
        <v>0</v>
      </c>
      <c r="AC504">
        <v>0</v>
      </c>
      <c r="AD504">
        <v>0</v>
      </c>
      <c r="AE504">
        <v>0</v>
      </c>
      <c r="AF504">
        <v>0</v>
      </c>
      <c r="AG504">
        <v>5.87</v>
      </c>
      <c r="AH504">
        <v>0</v>
      </c>
      <c r="AI504">
        <v>0</v>
      </c>
      <c r="AJ504">
        <v>0</v>
      </c>
      <c r="AK504">
        <v>0</v>
      </c>
      <c r="AL504">
        <v>0</v>
      </c>
      <c r="AM504">
        <v>0</v>
      </c>
      <c r="AN504">
        <v>0</v>
      </c>
      <c r="AO504">
        <v>0</v>
      </c>
      <c r="AP504">
        <v>0</v>
      </c>
      <c r="AQ504">
        <v>44.64</v>
      </c>
      <c r="AR504">
        <v>0</v>
      </c>
      <c r="AS504">
        <v>0</v>
      </c>
      <c r="AT504">
        <v>0</v>
      </c>
      <c r="AU504">
        <v>0</v>
      </c>
      <c r="AV504">
        <v>0</v>
      </c>
      <c r="AW504">
        <v>0</v>
      </c>
      <c r="AX504">
        <v>0</v>
      </c>
      <c r="AY504">
        <v>0</v>
      </c>
      <c r="AZ504">
        <v>0</v>
      </c>
      <c r="BA504">
        <v>0</v>
      </c>
      <c r="BB504">
        <v>0</v>
      </c>
      <c r="BC504">
        <v>0</v>
      </c>
      <c r="BD504">
        <v>0</v>
      </c>
      <c r="BE504">
        <v>0</v>
      </c>
      <c r="BF504">
        <v>0</v>
      </c>
      <c r="BG504">
        <v>0</v>
      </c>
      <c r="BH504">
        <v>1</v>
      </c>
      <c r="BI504">
        <v>2</v>
      </c>
      <c r="BJ504">
        <v>6.4</v>
      </c>
      <c r="BK504">
        <v>7</v>
      </c>
      <c r="BL504">
        <v>144.49</v>
      </c>
      <c r="BM504">
        <v>21.67</v>
      </c>
      <c r="BN504">
        <v>166.16</v>
      </c>
      <c r="BO504">
        <v>166.16</v>
      </c>
      <c r="BQ504" t="s">
        <v>168</v>
      </c>
      <c r="BR504" t="s">
        <v>84</v>
      </c>
      <c r="BS504" t="s">
        <v>176</v>
      </c>
      <c r="BV504" t="s">
        <v>90</v>
      </c>
      <c r="BY504">
        <v>32244.98</v>
      </c>
      <c r="CC504" t="s">
        <v>119</v>
      </c>
      <c r="CD504" s="5" t="s">
        <v>124</v>
      </c>
      <c r="CE504" t="s">
        <v>171</v>
      </c>
      <c r="CI504">
        <v>3</v>
      </c>
      <c r="CJ504" t="s">
        <v>176</v>
      </c>
      <c r="CK504">
        <v>41</v>
      </c>
      <c r="CL504" t="s">
        <v>90</v>
      </c>
    </row>
    <row r="505" spans="1:90" x14ac:dyDescent="0.3">
      <c r="A505" t="s">
        <v>72</v>
      </c>
      <c r="B505" t="s">
        <v>73</v>
      </c>
      <c r="C505" t="s">
        <v>74</v>
      </c>
      <c r="E505" t="str">
        <f>"GAB2028126"</f>
        <v>GAB2028126</v>
      </c>
      <c r="F505" s="3">
        <v>45897</v>
      </c>
      <c r="G505">
        <v>202605</v>
      </c>
      <c r="H505" t="s">
        <v>75</v>
      </c>
      <c r="I505" t="s">
        <v>76</v>
      </c>
      <c r="J505" t="s">
        <v>77</v>
      </c>
      <c r="K505" t="s">
        <v>78</v>
      </c>
      <c r="L505" t="s">
        <v>494</v>
      </c>
      <c r="M505" t="s">
        <v>495</v>
      </c>
      <c r="N505" t="s">
        <v>567</v>
      </c>
      <c r="O505" t="s">
        <v>82</v>
      </c>
      <c r="P505" t="str">
        <f>"00120529 ORDGS035718          "</f>
        <v xml:space="preserve">00120529 ORDGS035718          </v>
      </c>
      <c r="Q505">
        <v>0</v>
      </c>
      <c r="R505">
        <v>0</v>
      </c>
      <c r="S505">
        <v>0</v>
      </c>
      <c r="T505">
        <v>0</v>
      </c>
      <c r="U505">
        <v>0</v>
      </c>
      <c r="V505">
        <v>0</v>
      </c>
      <c r="W505">
        <v>0</v>
      </c>
      <c r="X505">
        <v>0</v>
      </c>
      <c r="Y505">
        <v>0</v>
      </c>
      <c r="Z505">
        <v>0</v>
      </c>
      <c r="AA505">
        <v>0</v>
      </c>
      <c r="AB505">
        <v>0</v>
      </c>
      <c r="AC505">
        <v>0</v>
      </c>
      <c r="AD505">
        <v>0</v>
      </c>
      <c r="AE505">
        <v>0</v>
      </c>
      <c r="AF505">
        <v>0</v>
      </c>
      <c r="AG505">
        <v>5.87</v>
      </c>
      <c r="AH505">
        <v>0</v>
      </c>
      <c r="AI505">
        <v>0</v>
      </c>
      <c r="AJ505">
        <v>0</v>
      </c>
      <c r="AK505">
        <v>0</v>
      </c>
      <c r="AL505">
        <v>0</v>
      </c>
      <c r="AM505">
        <v>0</v>
      </c>
      <c r="AN505">
        <v>0</v>
      </c>
      <c r="AO505">
        <v>0</v>
      </c>
      <c r="AP505">
        <v>0</v>
      </c>
      <c r="AQ505">
        <v>44.64</v>
      </c>
      <c r="AR505">
        <v>0</v>
      </c>
      <c r="AS505">
        <v>0</v>
      </c>
      <c r="AT505">
        <v>0</v>
      </c>
      <c r="AU505">
        <v>0</v>
      </c>
      <c r="AV505">
        <v>0</v>
      </c>
      <c r="AW505">
        <v>0</v>
      </c>
      <c r="AX505">
        <v>0</v>
      </c>
      <c r="AY505">
        <v>0</v>
      </c>
      <c r="AZ505">
        <v>0</v>
      </c>
      <c r="BA505">
        <v>0</v>
      </c>
      <c r="BB505">
        <v>0</v>
      </c>
      <c r="BC505">
        <v>0</v>
      </c>
      <c r="BD505">
        <v>0</v>
      </c>
      <c r="BE505">
        <v>0</v>
      </c>
      <c r="BF505">
        <v>0</v>
      </c>
      <c r="BG505">
        <v>0</v>
      </c>
      <c r="BH505">
        <v>1</v>
      </c>
      <c r="BI505">
        <v>2.9</v>
      </c>
      <c r="BJ505">
        <v>6</v>
      </c>
      <c r="BK505">
        <v>6</v>
      </c>
      <c r="BL505">
        <v>144.49</v>
      </c>
      <c r="BM505">
        <v>21.67</v>
      </c>
      <c r="BN505">
        <v>166.16</v>
      </c>
      <c r="BO505">
        <v>166.16</v>
      </c>
      <c r="BQ505" t="s">
        <v>1545</v>
      </c>
      <c r="BR505" t="s">
        <v>84</v>
      </c>
      <c r="BS505" t="s">
        <v>176</v>
      </c>
      <c r="BV505" t="s">
        <v>90</v>
      </c>
      <c r="BY505">
        <v>29922.75</v>
      </c>
      <c r="CC505" t="s">
        <v>495</v>
      </c>
      <c r="CD505">
        <v>3201</v>
      </c>
      <c r="CE505" t="s">
        <v>171</v>
      </c>
      <c r="CI505">
        <v>4</v>
      </c>
      <c r="CJ505" t="s">
        <v>176</v>
      </c>
      <c r="CK505">
        <v>41</v>
      </c>
      <c r="CL505" t="s">
        <v>90</v>
      </c>
    </row>
    <row r="506" spans="1:90" x14ac:dyDescent="0.3">
      <c r="A506" t="s">
        <v>72</v>
      </c>
      <c r="B506" t="s">
        <v>73</v>
      </c>
      <c r="C506" t="s">
        <v>74</v>
      </c>
      <c r="E506" t="str">
        <f>"GAB2028127"</f>
        <v>GAB2028127</v>
      </c>
      <c r="F506" s="3">
        <v>45897</v>
      </c>
      <c r="G506">
        <v>202605</v>
      </c>
      <c r="H506" t="s">
        <v>75</v>
      </c>
      <c r="I506" t="s">
        <v>76</v>
      </c>
      <c r="J506" t="s">
        <v>77</v>
      </c>
      <c r="K506" t="s">
        <v>78</v>
      </c>
      <c r="L506" t="s">
        <v>1053</v>
      </c>
      <c r="M506" t="s">
        <v>1054</v>
      </c>
      <c r="N506" t="s">
        <v>1546</v>
      </c>
      <c r="O506" t="s">
        <v>82</v>
      </c>
      <c r="P506" t="str">
        <f>"INVOICE 00120524 ORDGMD00403  "</f>
        <v xml:space="preserve">INVOICE 00120524 ORDGMD00403  </v>
      </c>
      <c r="Q506">
        <v>0</v>
      </c>
      <c r="R506">
        <v>0</v>
      </c>
      <c r="S506">
        <v>0</v>
      </c>
      <c r="T506">
        <v>0</v>
      </c>
      <c r="U506">
        <v>0</v>
      </c>
      <c r="V506">
        <v>0</v>
      </c>
      <c r="W506">
        <v>0</v>
      </c>
      <c r="X506">
        <v>0</v>
      </c>
      <c r="Y506">
        <v>0</v>
      </c>
      <c r="Z506">
        <v>0</v>
      </c>
      <c r="AA506">
        <v>0</v>
      </c>
      <c r="AB506">
        <v>0</v>
      </c>
      <c r="AC506">
        <v>0</v>
      </c>
      <c r="AD506">
        <v>0</v>
      </c>
      <c r="AE506">
        <v>0</v>
      </c>
      <c r="AF506">
        <v>0</v>
      </c>
      <c r="AG506">
        <v>5.87</v>
      </c>
      <c r="AH506">
        <v>0</v>
      </c>
      <c r="AI506">
        <v>0</v>
      </c>
      <c r="AJ506">
        <v>0</v>
      </c>
      <c r="AK506">
        <v>0</v>
      </c>
      <c r="AL506">
        <v>0</v>
      </c>
      <c r="AM506">
        <v>0</v>
      </c>
      <c r="AN506">
        <v>0</v>
      </c>
      <c r="AO506">
        <v>0</v>
      </c>
      <c r="AP506">
        <v>0</v>
      </c>
      <c r="AQ506">
        <v>146.57</v>
      </c>
      <c r="AR506">
        <v>0</v>
      </c>
      <c r="AS506">
        <v>0</v>
      </c>
      <c r="AT506">
        <v>0</v>
      </c>
      <c r="AU506">
        <v>0</v>
      </c>
      <c r="AV506">
        <v>0</v>
      </c>
      <c r="AW506">
        <v>0</v>
      </c>
      <c r="AX506">
        <v>0</v>
      </c>
      <c r="AY506">
        <v>0</v>
      </c>
      <c r="AZ506">
        <v>0</v>
      </c>
      <c r="BA506">
        <v>0</v>
      </c>
      <c r="BB506">
        <v>0</v>
      </c>
      <c r="BC506">
        <v>0</v>
      </c>
      <c r="BD506">
        <v>0</v>
      </c>
      <c r="BE506">
        <v>0</v>
      </c>
      <c r="BF506">
        <v>0</v>
      </c>
      <c r="BG506">
        <v>0</v>
      </c>
      <c r="BH506">
        <v>5</v>
      </c>
      <c r="BI506">
        <v>13.3</v>
      </c>
      <c r="BJ506">
        <v>40.1</v>
      </c>
      <c r="BK506">
        <v>41</v>
      </c>
      <c r="BL506">
        <v>461.01</v>
      </c>
      <c r="BM506">
        <v>69.150000000000006</v>
      </c>
      <c r="BN506">
        <v>530.16</v>
      </c>
      <c r="BO506">
        <v>530.16</v>
      </c>
      <c r="BR506" t="s">
        <v>84</v>
      </c>
      <c r="BS506" t="s">
        <v>176</v>
      </c>
      <c r="BV506" t="s">
        <v>90</v>
      </c>
      <c r="BY506">
        <v>200350.02</v>
      </c>
      <c r="CC506" t="s">
        <v>1054</v>
      </c>
      <c r="CD506">
        <v>3880</v>
      </c>
      <c r="CE506" t="s">
        <v>1547</v>
      </c>
      <c r="CI506">
        <v>5</v>
      </c>
      <c r="CJ506" t="s">
        <v>176</v>
      </c>
      <c r="CK506">
        <v>43</v>
      </c>
      <c r="CL506" t="s">
        <v>90</v>
      </c>
    </row>
    <row r="507" spans="1:90" x14ac:dyDescent="0.3">
      <c r="A507" t="s">
        <v>72</v>
      </c>
      <c r="B507" t="s">
        <v>73</v>
      </c>
      <c r="C507" t="s">
        <v>74</v>
      </c>
      <c r="E507" t="str">
        <f>"GAB2028135"</f>
        <v>GAB2028135</v>
      </c>
      <c r="F507" s="3">
        <v>45897</v>
      </c>
      <c r="G507">
        <v>202605</v>
      </c>
      <c r="H507" t="s">
        <v>75</v>
      </c>
      <c r="I507" t="s">
        <v>76</v>
      </c>
      <c r="J507" t="s">
        <v>77</v>
      </c>
      <c r="K507" t="s">
        <v>78</v>
      </c>
      <c r="L507" t="s">
        <v>415</v>
      </c>
      <c r="M507" t="s">
        <v>416</v>
      </c>
      <c r="N507" t="s">
        <v>1267</v>
      </c>
      <c r="O507" t="s">
        <v>82</v>
      </c>
      <c r="P507" t="str">
        <f>"DEL NOTE 19560 CT096083       "</f>
        <v xml:space="preserve">DEL NOTE 19560 CT096083       </v>
      </c>
      <c r="Q507">
        <v>0</v>
      </c>
      <c r="R507">
        <v>0</v>
      </c>
      <c r="S507">
        <v>0</v>
      </c>
      <c r="T507">
        <v>0</v>
      </c>
      <c r="U507">
        <v>0</v>
      </c>
      <c r="V507">
        <v>0</v>
      </c>
      <c r="W507">
        <v>0</v>
      </c>
      <c r="X507">
        <v>0</v>
      </c>
      <c r="Y507">
        <v>0</v>
      </c>
      <c r="Z507">
        <v>0</v>
      </c>
      <c r="AA507">
        <v>0</v>
      </c>
      <c r="AB507">
        <v>0</v>
      </c>
      <c r="AC507">
        <v>0</v>
      </c>
      <c r="AD507">
        <v>0</v>
      </c>
      <c r="AE507">
        <v>0</v>
      </c>
      <c r="AF507">
        <v>0</v>
      </c>
      <c r="AG507">
        <v>5.87</v>
      </c>
      <c r="AH507">
        <v>0</v>
      </c>
      <c r="AI507">
        <v>0</v>
      </c>
      <c r="AJ507">
        <v>0</v>
      </c>
      <c r="AK507">
        <v>0</v>
      </c>
      <c r="AL507">
        <v>0</v>
      </c>
      <c r="AM507">
        <v>0</v>
      </c>
      <c r="AN507">
        <v>0</v>
      </c>
      <c r="AO507">
        <v>0</v>
      </c>
      <c r="AP507">
        <v>0</v>
      </c>
      <c r="AQ507">
        <v>90.72</v>
      </c>
      <c r="AR507">
        <v>0</v>
      </c>
      <c r="AS507">
        <v>0</v>
      </c>
      <c r="AT507">
        <v>0</v>
      </c>
      <c r="AU507">
        <v>0</v>
      </c>
      <c r="AV507">
        <v>0</v>
      </c>
      <c r="AW507">
        <v>0</v>
      </c>
      <c r="AX507">
        <v>0</v>
      </c>
      <c r="AY507">
        <v>0</v>
      </c>
      <c r="AZ507">
        <v>0</v>
      </c>
      <c r="BA507">
        <v>0</v>
      </c>
      <c r="BB507">
        <v>0</v>
      </c>
      <c r="BC507">
        <v>0</v>
      </c>
      <c r="BD507">
        <v>0</v>
      </c>
      <c r="BE507">
        <v>0</v>
      </c>
      <c r="BF507">
        <v>0</v>
      </c>
      <c r="BG507">
        <v>0</v>
      </c>
      <c r="BH507">
        <v>1</v>
      </c>
      <c r="BI507">
        <v>29.7</v>
      </c>
      <c r="BJ507">
        <v>39.9</v>
      </c>
      <c r="BK507">
        <v>40</v>
      </c>
      <c r="BL507">
        <v>287.57</v>
      </c>
      <c r="BM507">
        <v>43.14</v>
      </c>
      <c r="BN507">
        <v>330.71</v>
      </c>
      <c r="BO507">
        <v>330.71</v>
      </c>
      <c r="BQ507" t="s">
        <v>1548</v>
      </c>
      <c r="BR507" t="s">
        <v>84</v>
      </c>
      <c r="BS507" t="s">
        <v>176</v>
      </c>
      <c r="BV507" t="s">
        <v>90</v>
      </c>
      <c r="BY507">
        <v>199382.25</v>
      </c>
      <c r="CC507" t="s">
        <v>416</v>
      </c>
      <c r="CD507">
        <v>2000</v>
      </c>
      <c r="CE507" t="s">
        <v>1549</v>
      </c>
      <c r="CI507">
        <v>2</v>
      </c>
      <c r="CJ507" t="s">
        <v>176</v>
      </c>
      <c r="CK507">
        <v>41</v>
      </c>
      <c r="CL507" t="s">
        <v>90</v>
      </c>
    </row>
    <row r="508" spans="1:90" x14ac:dyDescent="0.3">
      <c r="A508" t="s">
        <v>72</v>
      </c>
      <c r="B508" t="s">
        <v>73</v>
      </c>
      <c r="C508" t="s">
        <v>74</v>
      </c>
      <c r="E508" t="str">
        <f>"GAB2028095"</f>
        <v>GAB2028095</v>
      </c>
      <c r="F508" s="3">
        <v>45897</v>
      </c>
      <c r="G508">
        <v>202605</v>
      </c>
      <c r="H508" t="s">
        <v>75</v>
      </c>
      <c r="I508" t="s">
        <v>76</v>
      </c>
      <c r="J508" t="s">
        <v>77</v>
      </c>
      <c r="K508" t="s">
        <v>78</v>
      </c>
      <c r="L508" t="s">
        <v>438</v>
      </c>
      <c r="M508" t="s">
        <v>439</v>
      </c>
      <c r="N508" t="s">
        <v>440</v>
      </c>
      <c r="O508" t="s">
        <v>100</v>
      </c>
      <c r="P508" t="str">
        <f>"INGM00120487 INGM00120476 CT09"</f>
        <v>INGM00120487 INGM00120476 CT09</v>
      </c>
      <c r="Q508">
        <v>0</v>
      </c>
      <c r="R508">
        <v>0</v>
      </c>
      <c r="S508">
        <v>0</v>
      </c>
      <c r="T508">
        <v>0</v>
      </c>
      <c r="U508">
        <v>0</v>
      </c>
      <c r="V508">
        <v>0</v>
      </c>
      <c r="W508">
        <v>0</v>
      </c>
      <c r="X508">
        <v>0</v>
      </c>
      <c r="Y508">
        <v>0</v>
      </c>
      <c r="Z508">
        <v>0</v>
      </c>
      <c r="AA508">
        <v>0</v>
      </c>
      <c r="AB508">
        <v>0</v>
      </c>
      <c r="AC508">
        <v>0</v>
      </c>
      <c r="AD508">
        <v>0</v>
      </c>
      <c r="AE508">
        <v>0</v>
      </c>
      <c r="AF508">
        <v>0</v>
      </c>
      <c r="AG508">
        <v>0</v>
      </c>
      <c r="AH508">
        <v>0</v>
      </c>
      <c r="AI508">
        <v>0</v>
      </c>
      <c r="AJ508">
        <v>0</v>
      </c>
      <c r="AK508">
        <v>0</v>
      </c>
      <c r="AL508">
        <v>0</v>
      </c>
      <c r="AM508">
        <v>0</v>
      </c>
      <c r="AN508">
        <v>0</v>
      </c>
      <c r="AO508">
        <v>0</v>
      </c>
      <c r="AP508">
        <v>0</v>
      </c>
      <c r="AQ508">
        <v>28.85</v>
      </c>
      <c r="AR508">
        <v>0</v>
      </c>
      <c r="AS508">
        <v>0</v>
      </c>
      <c r="AT508">
        <v>0</v>
      </c>
      <c r="AU508">
        <v>0</v>
      </c>
      <c r="AV508">
        <v>0</v>
      </c>
      <c r="AW508">
        <v>16.739999999999998</v>
      </c>
      <c r="AX508">
        <v>0</v>
      </c>
      <c r="AY508">
        <v>0</v>
      </c>
      <c r="AZ508">
        <v>0</v>
      </c>
      <c r="BA508">
        <v>0</v>
      </c>
      <c r="BB508">
        <v>0</v>
      </c>
      <c r="BC508">
        <v>0</v>
      </c>
      <c r="BD508">
        <v>0</v>
      </c>
      <c r="BE508">
        <v>0</v>
      </c>
      <c r="BF508">
        <v>0</v>
      </c>
      <c r="BG508">
        <v>0</v>
      </c>
      <c r="BH508">
        <v>1</v>
      </c>
      <c r="BI508">
        <v>0.3</v>
      </c>
      <c r="BJ508">
        <v>2.1</v>
      </c>
      <c r="BK508">
        <v>2.5</v>
      </c>
      <c r="BL508">
        <v>106.33</v>
      </c>
      <c r="BM508">
        <v>15.95</v>
      </c>
      <c r="BN508">
        <v>122.28</v>
      </c>
      <c r="BO508">
        <v>122.28</v>
      </c>
      <c r="BQ508" t="s">
        <v>441</v>
      </c>
      <c r="BR508" t="s">
        <v>84</v>
      </c>
      <c r="BS508" t="s">
        <v>176</v>
      </c>
      <c r="BV508" t="s">
        <v>90</v>
      </c>
      <c r="BY508">
        <v>10344.39</v>
      </c>
      <c r="BZ508" t="s">
        <v>320</v>
      </c>
      <c r="CC508" t="s">
        <v>439</v>
      </c>
      <c r="CD508">
        <v>1475</v>
      </c>
      <c r="CE508" t="s">
        <v>143</v>
      </c>
      <c r="CI508">
        <v>1</v>
      </c>
      <c r="CJ508" t="s">
        <v>176</v>
      </c>
      <c r="CK508">
        <v>21</v>
      </c>
      <c r="CL508" t="s">
        <v>90</v>
      </c>
    </row>
    <row r="509" spans="1:90" x14ac:dyDescent="0.3">
      <c r="A509" t="s">
        <v>72</v>
      </c>
      <c r="B509" t="s">
        <v>73</v>
      </c>
      <c r="C509" t="s">
        <v>74</v>
      </c>
      <c r="E509" t="str">
        <f>"GAB2028097"</f>
        <v>GAB2028097</v>
      </c>
      <c r="F509" s="3">
        <v>45897</v>
      </c>
      <c r="G509">
        <v>202605</v>
      </c>
      <c r="H509" t="s">
        <v>75</v>
      </c>
      <c r="I509" t="s">
        <v>76</v>
      </c>
      <c r="J509" t="s">
        <v>77</v>
      </c>
      <c r="K509" t="s">
        <v>78</v>
      </c>
      <c r="L509" t="s">
        <v>165</v>
      </c>
      <c r="M509" t="s">
        <v>166</v>
      </c>
      <c r="N509" t="s">
        <v>805</v>
      </c>
      <c r="O509" t="s">
        <v>100</v>
      </c>
      <c r="P509" t="str">
        <f>"INGM00120488 CT096857         "</f>
        <v xml:space="preserve">INGM00120488 CT096857         </v>
      </c>
      <c r="Q509">
        <v>0</v>
      </c>
      <c r="R509">
        <v>0</v>
      </c>
      <c r="S509">
        <v>0</v>
      </c>
      <c r="T509">
        <v>0</v>
      </c>
      <c r="U509">
        <v>0</v>
      </c>
      <c r="V509">
        <v>0</v>
      </c>
      <c r="W509">
        <v>0</v>
      </c>
      <c r="X509">
        <v>0</v>
      </c>
      <c r="Y509">
        <v>0</v>
      </c>
      <c r="Z509">
        <v>0</v>
      </c>
      <c r="AA509">
        <v>0</v>
      </c>
      <c r="AB509">
        <v>0</v>
      </c>
      <c r="AC509">
        <v>0</v>
      </c>
      <c r="AD509">
        <v>0</v>
      </c>
      <c r="AE509">
        <v>0</v>
      </c>
      <c r="AF509">
        <v>0</v>
      </c>
      <c r="AG509">
        <v>0</v>
      </c>
      <c r="AH509">
        <v>0</v>
      </c>
      <c r="AI509">
        <v>0</v>
      </c>
      <c r="AJ509">
        <v>0</v>
      </c>
      <c r="AK509">
        <v>0</v>
      </c>
      <c r="AL509">
        <v>0</v>
      </c>
      <c r="AM509">
        <v>0</v>
      </c>
      <c r="AN509">
        <v>0</v>
      </c>
      <c r="AO509">
        <v>0</v>
      </c>
      <c r="AP509">
        <v>0</v>
      </c>
      <c r="AQ509">
        <v>54.82</v>
      </c>
      <c r="AR509">
        <v>0</v>
      </c>
      <c r="AS509">
        <v>0</v>
      </c>
      <c r="AT509">
        <v>0</v>
      </c>
      <c r="AU509">
        <v>0</v>
      </c>
      <c r="AV509">
        <v>0</v>
      </c>
      <c r="AW509">
        <v>16.739999999999998</v>
      </c>
      <c r="AX509">
        <v>0</v>
      </c>
      <c r="AY509">
        <v>0</v>
      </c>
      <c r="AZ509">
        <v>0</v>
      </c>
      <c r="BA509">
        <v>0</v>
      </c>
      <c r="BB509">
        <v>0</v>
      </c>
      <c r="BC509">
        <v>0</v>
      </c>
      <c r="BD509">
        <v>0</v>
      </c>
      <c r="BE509">
        <v>0</v>
      </c>
      <c r="BF509">
        <v>0</v>
      </c>
      <c r="BG509">
        <v>0</v>
      </c>
      <c r="BH509">
        <v>1</v>
      </c>
      <c r="BI509">
        <v>0.3</v>
      </c>
      <c r="BJ509">
        <v>2.2000000000000002</v>
      </c>
      <c r="BK509">
        <v>2.5</v>
      </c>
      <c r="BL509">
        <v>186.98</v>
      </c>
      <c r="BM509">
        <v>28.05</v>
      </c>
      <c r="BN509">
        <v>215.03</v>
      </c>
      <c r="BO509">
        <v>215.03</v>
      </c>
      <c r="BQ509" t="s">
        <v>1421</v>
      </c>
      <c r="BR509" t="s">
        <v>84</v>
      </c>
      <c r="BS509" t="s">
        <v>176</v>
      </c>
      <c r="BV509" t="s">
        <v>90</v>
      </c>
      <c r="BY509">
        <v>10981.6</v>
      </c>
      <c r="BZ509" t="s">
        <v>320</v>
      </c>
      <c r="CC509" t="s">
        <v>166</v>
      </c>
      <c r="CD509">
        <v>2745</v>
      </c>
      <c r="CE509" t="s">
        <v>104</v>
      </c>
      <c r="CI509">
        <v>2</v>
      </c>
      <c r="CJ509" t="s">
        <v>176</v>
      </c>
      <c r="CK509">
        <v>23</v>
      </c>
      <c r="CL509" t="s">
        <v>90</v>
      </c>
    </row>
    <row r="510" spans="1:90" x14ac:dyDescent="0.3">
      <c r="A510" t="s">
        <v>72</v>
      </c>
      <c r="B510" t="s">
        <v>73</v>
      </c>
      <c r="C510" t="s">
        <v>74</v>
      </c>
      <c r="E510" t="str">
        <f>"GAB2028098"</f>
        <v>GAB2028098</v>
      </c>
      <c r="F510" s="3">
        <v>45897</v>
      </c>
      <c r="G510">
        <v>202605</v>
      </c>
      <c r="H510" t="s">
        <v>75</v>
      </c>
      <c r="I510" t="s">
        <v>76</v>
      </c>
      <c r="J510" t="s">
        <v>77</v>
      </c>
      <c r="K510" t="s">
        <v>78</v>
      </c>
      <c r="L510" t="s">
        <v>499</v>
      </c>
      <c r="M510" t="s">
        <v>500</v>
      </c>
      <c r="N510" t="s">
        <v>1550</v>
      </c>
      <c r="O510" t="s">
        <v>100</v>
      </c>
      <c r="P510" t="str">
        <f>"INVOICE INGM00120486 CT096858 "</f>
        <v xml:space="preserve">INVOICE INGM00120486 CT096858 </v>
      </c>
      <c r="Q510">
        <v>0</v>
      </c>
      <c r="R510">
        <v>0</v>
      </c>
      <c r="S510">
        <v>0</v>
      </c>
      <c r="T510">
        <v>0</v>
      </c>
      <c r="U510">
        <v>0</v>
      </c>
      <c r="V510">
        <v>0</v>
      </c>
      <c r="W510">
        <v>0</v>
      </c>
      <c r="X510">
        <v>0</v>
      </c>
      <c r="Y510">
        <v>0</v>
      </c>
      <c r="Z510">
        <v>0</v>
      </c>
      <c r="AA510">
        <v>0</v>
      </c>
      <c r="AB510">
        <v>0</v>
      </c>
      <c r="AC510">
        <v>0</v>
      </c>
      <c r="AD510">
        <v>0</v>
      </c>
      <c r="AE510">
        <v>0</v>
      </c>
      <c r="AF510">
        <v>0</v>
      </c>
      <c r="AG510">
        <v>0</v>
      </c>
      <c r="AH510">
        <v>0</v>
      </c>
      <c r="AI510">
        <v>0</v>
      </c>
      <c r="AJ510">
        <v>0</v>
      </c>
      <c r="AK510">
        <v>0</v>
      </c>
      <c r="AL510">
        <v>0</v>
      </c>
      <c r="AM510">
        <v>0</v>
      </c>
      <c r="AN510">
        <v>0</v>
      </c>
      <c r="AO510">
        <v>0</v>
      </c>
      <c r="AP510">
        <v>0</v>
      </c>
      <c r="AQ510">
        <v>23.09</v>
      </c>
      <c r="AR510">
        <v>0</v>
      </c>
      <c r="AS510">
        <v>0</v>
      </c>
      <c r="AT510">
        <v>0</v>
      </c>
      <c r="AU510">
        <v>0</v>
      </c>
      <c r="AV510">
        <v>0</v>
      </c>
      <c r="AW510">
        <v>0</v>
      </c>
      <c r="AX510">
        <v>0</v>
      </c>
      <c r="AY510">
        <v>0</v>
      </c>
      <c r="AZ510">
        <v>0</v>
      </c>
      <c r="BA510">
        <v>0</v>
      </c>
      <c r="BB510">
        <v>0</v>
      </c>
      <c r="BC510">
        <v>0</v>
      </c>
      <c r="BD510">
        <v>0</v>
      </c>
      <c r="BE510">
        <v>0</v>
      </c>
      <c r="BF510">
        <v>0</v>
      </c>
      <c r="BG510">
        <v>0</v>
      </c>
      <c r="BH510">
        <v>1</v>
      </c>
      <c r="BI510">
        <v>0.3</v>
      </c>
      <c r="BJ510">
        <v>2</v>
      </c>
      <c r="BK510">
        <v>2</v>
      </c>
      <c r="BL510">
        <v>71.69</v>
      </c>
      <c r="BM510">
        <v>10.75</v>
      </c>
      <c r="BN510">
        <v>82.44</v>
      </c>
      <c r="BO510">
        <v>82.44</v>
      </c>
      <c r="BR510" t="s">
        <v>84</v>
      </c>
      <c r="BS510" t="s">
        <v>176</v>
      </c>
      <c r="BV510" t="s">
        <v>90</v>
      </c>
      <c r="BY510">
        <v>9996.66</v>
      </c>
      <c r="BZ510" t="s">
        <v>102</v>
      </c>
      <c r="CC510" t="s">
        <v>500</v>
      </c>
      <c r="CD510">
        <v>1200</v>
      </c>
      <c r="CE510" t="s">
        <v>109</v>
      </c>
      <c r="CI510">
        <v>2</v>
      </c>
      <c r="CJ510" t="s">
        <v>176</v>
      </c>
      <c r="CK510">
        <v>21</v>
      </c>
      <c r="CL510" t="s">
        <v>90</v>
      </c>
    </row>
    <row r="511" spans="1:90" x14ac:dyDescent="0.3">
      <c r="A511" t="s">
        <v>72</v>
      </c>
      <c r="B511" t="s">
        <v>73</v>
      </c>
      <c r="C511" t="s">
        <v>74</v>
      </c>
      <c r="E511" t="str">
        <f>"GAB2028099"</f>
        <v>GAB2028099</v>
      </c>
      <c r="F511" s="3">
        <v>45897</v>
      </c>
      <c r="G511">
        <v>202605</v>
      </c>
      <c r="H511" t="s">
        <v>75</v>
      </c>
      <c r="I511" t="s">
        <v>76</v>
      </c>
      <c r="J511" t="s">
        <v>77</v>
      </c>
      <c r="K511" t="s">
        <v>78</v>
      </c>
      <c r="L511" t="s">
        <v>75</v>
      </c>
      <c r="M511" t="s">
        <v>76</v>
      </c>
      <c r="N511" t="s">
        <v>224</v>
      </c>
      <c r="O511" t="s">
        <v>100</v>
      </c>
      <c r="P511" t="str">
        <f>"INVOICE INGM00120485 CT096860 "</f>
        <v xml:space="preserve">INVOICE INGM00120485 CT096860 </v>
      </c>
      <c r="Q511">
        <v>0</v>
      </c>
      <c r="R511">
        <v>0</v>
      </c>
      <c r="S511">
        <v>0</v>
      </c>
      <c r="T511">
        <v>0</v>
      </c>
      <c r="U511">
        <v>0</v>
      </c>
      <c r="V511">
        <v>0</v>
      </c>
      <c r="W511">
        <v>0</v>
      </c>
      <c r="X511">
        <v>0</v>
      </c>
      <c r="Y511">
        <v>0</v>
      </c>
      <c r="Z511">
        <v>0</v>
      </c>
      <c r="AA511">
        <v>0</v>
      </c>
      <c r="AB511">
        <v>0</v>
      </c>
      <c r="AC511">
        <v>0</v>
      </c>
      <c r="AD511">
        <v>0</v>
      </c>
      <c r="AE511">
        <v>0</v>
      </c>
      <c r="AF511">
        <v>0</v>
      </c>
      <c r="AG511">
        <v>0</v>
      </c>
      <c r="AH511">
        <v>0</v>
      </c>
      <c r="AI511">
        <v>0</v>
      </c>
      <c r="AJ511">
        <v>0</v>
      </c>
      <c r="AK511">
        <v>0</v>
      </c>
      <c r="AL511">
        <v>0</v>
      </c>
      <c r="AM511">
        <v>0</v>
      </c>
      <c r="AN511">
        <v>0</v>
      </c>
      <c r="AO511">
        <v>0</v>
      </c>
      <c r="AP511">
        <v>0</v>
      </c>
      <c r="AQ511">
        <v>18.03</v>
      </c>
      <c r="AR511">
        <v>0</v>
      </c>
      <c r="AS511">
        <v>0</v>
      </c>
      <c r="AT511">
        <v>0</v>
      </c>
      <c r="AU511">
        <v>0</v>
      </c>
      <c r="AV511">
        <v>0</v>
      </c>
      <c r="AW511">
        <v>0</v>
      </c>
      <c r="AX511">
        <v>0</v>
      </c>
      <c r="AY511">
        <v>0</v>
      </c>
      <c r="AZ511">
        <v>0</v>
      </c>
      <c r="BA511">
        <v>0</v>
      </c>
      <c r="BB511">
        <v>0</v>
      </c>
      <c r="BC511">
        <v>0</v>
      </c>
      <c r="BD511">
        <v>0</v>
      </c>
      <c r="BE511">
        <v>0</v>
      </c>
      <c r="BF511">
        <v>0</v>
      </c>
      <c r="BG511">
        <v>0</v>
      </c>
      <c r="BH511">
        <v>1</v>
      </c>
      <c r="BI511">
        <v>0.3</v>
      </c>
      <c r="BJ511">
        <v>2.6</v>
      </c>
      <c r="BK511">
        <v>3</v>
      </c>
      <c r="BL511">
        <v>55.99</v>
      </c>
      <c r="BM511">
        <v>8.4</v>
      </c>
      <c r="BN511">
        <v>64.39</v>
      </c>
      <c r="BO511">
        <v>64.39</v>
      </c>
      <c r="BQ511" t="s">
        <v>225</v>
      </c>
      <c r="BR511" t="s">
        <v>84</v>
      </c>
      <c r="BS511" t="s">
        <v>176</v>
      </c>
      <c r="BV511" t="s">
        <v>90</v>
      </c>
      <c r="BY511">
        <v>12862.37</v>
      </c>
      <c r="BZ511" t="s">
        <v>102</v>
      </c>
      <c r="CC511" t="s">
        <v>76</v>
      </c>
      <c r="CD511">
        <v>7700</v>
      </c>
      <c r="CE511" t="s">
        <v>104</v>
      </c>
      <c r="CI511">
        <v>1</v>
      </c>
      <c r="CJ511" t="s">
        <v>176</v>
      </c>
      <c r="CK511">
        <v>22</v>
      </c>
      <c r="CL511" t="s">
        <v>90</v>
      </c>
    </row>
    <row r="512" spans="1:90" x14ac:dyDescent="0.3">
      <c r="A512" t="s">
        <v>72</v>
      </c>
      <c r="B512" t="s">
        <v>73</v>
      </c>
      <c r="C512" t="s">
        <v>74</v>
      </c>
      <c r="E512" t="str">
        <f>"GAB2028100"</f>
        <v>GAB2028100</v>
      </c>
      <c r="F512" s="3">
        <v>45897</v>
      </c>
      <c r="G512">
        <v>202605</v>
      </c>
      <c r="H512" t="s">
        <v>75</v>
      </c>
      <c r="I512" t="s">
        <v>76</v>
      </c>
      <c r="J512" t="s">
        <v>77</v>
      </c>
      <c r="K512" t="s">
        <v>78</v>
      </c>
      <c r="L512" t="s">
        <v>148</v>
      </c>
      <c r="M512" t="s">
        <v>149</v>
      </c>
      <c r="N512" t="s">
        <v>1177</v>
      </c>
      <c r="O512" t="s">
        <v>100</v>
      </c>
      <c r="P512" t="str">
        <f>"INGS00038912 ORDGS035882      "</f>
        <v xml:space="preserve">INGS00038912 ORDGS035882      </v>
      </c>
      <c r="Q512">
        <v>0</v>
      </c>
      <c r="R512">
        <v>0</v>
      </c>
      <c r="S512">
        <v>0</v>
      </c>
      <c r="T512">
        <v>0</v>
      </c>
      <c r="U512">
        <v>0</v>
      </c>
      <c r="V512">
        <v>0</v>
      </c>
      <c r="W512">
        <v>0</v>
      </c>
      <c r="X512">
        <v>0</v>
      </c>
      <c r="Y512">
        <v>0</v>
      </c>
      <c r="Z512">
        <v>0</v>
      </c>
      <c r="AA512">
        <v>0</v>
      </c>
      <c r="AB512">
        <v>0</v>
      </c>
      <c r="AC512">
        <v>0</v>
      </c>
      <c r="AD512">
        <v>0</v>
      </c>
      <c r="AE512">
        <v>0</v>
      </c>
      <c r="AF512">
        <v>0</v>
      </c>
      <c r="AG512">
        <v>0</v>
      </c>
      <c r="AH512">
        <v>0</v>
      </c>
      <c r="AI512">
        <v>0</v>
      </c>
      <c r="AJ512">
        <v>0</v>
      </c>
      <c r="AK512">
        <v>0</v>
      </c>
      <c r="AL512">
        <v>0</v>
      </c>
      <c r="AM512">
        <v>0</v>
      </c>
      <c r="AN512">
        <v>0</v>
      </c>
      <c r="AO512">
        <v>0</v>
      </c>
      <c r="AP512">
        <v>0</v>
      </c>
      <c r="AQ512">
        <v>28.85</v>
      </c>
      <c r="AR512">
        <v>0</v>
      </c>
      <c r="AS512">
        <v>0</v>
      </c>
      <c r="AT512">
        <v>0</v>
      </c>
      <c r="AU512">
        <v>0</v>
      </c>
      <c r="AV512">
        <v>0</v>
      </c>
      <c r="AW512">
        <v>0</v>
      </c>
      <c r="AX512">
        <v>0</v>
      </c>
      <c r="AY512">
        <v>0</v>
      </c>
      <c r="AZ512">
        <v>0</v>
      </c>
      <c r="BA512">
        <v>0</v>
      </c>
      <c r="BB512">
        <v>0</v>
      </c>
      <c r="BC512">
        <v>0</v>
      </c>
      <c r="BD512">
        <v>0</v>
      </c>
      <c r="BE512">
        <v>0</v>
      </c>
      <c r="BF512">
        <v>0</v>
      </c>
      <c r="BG512">
        <v>0</v>
      </c>
      <c r="BH512">
        <v>1</v>
      </c>
      <c r="BI512">
        <v>0.3</v>
      </c>
      <c r="BJ512">
        <v>2.2000000000000002</v>
      </c>
      <c r="BK512">
        <v>2.5</v>
      </c>
      <c r="BL512">
        <v>89.59</v>
      </c>
      <c r="BM512">
        <v>13.44</v>
      </c>
      <c r="BN512">
        <v>103.03</v>
      </c>
      <c r="BO512">
        <v>103.03</v>
      </c>
      <c r="BQ512" t="s">
        <v>1551</v>
      </c>
      <c r="BR512" t="s">
        <v>84</v>
      </c>
      <c r="BS512" t="s">
        <v>176</v>
      </c>
      <c r="BV512" t="s">
        <v>90</v>
      </c>
      <c r="BY512">
        <v>10801.05</v>
      </c>
      <c r="BZ512" t="s">
        <v>102</v>
      </c>
      <c r="CC512" t="s">
        <v>149</v>
      </c>
      <c r="CD512">
        <v>6001</v>
      </c>
      <c r="CE512" t="s">
        <v>104</v>
      </c>
      <c r="CI512">
        <v>2</v>
      </c>
      <c r="CJ512" t="s">
        <v>176</v>
      </c>
      <c r="CK512">
        <v>21</v>
      </c>
      <c r="CL512" t="s">
        <v>90</v>
      </c>
    </row>
    <row r="513" spans="1:90" x14ac:dyDescent="0.3">
      <c r="A513" t="s">
        <v>72</v>
      </c>
      <c r="B513" t="s">
        <v>73</v>
      </c>
      <c r="C513" t="s">
        <v>74</v>
      </c>
      <c r="E513" t="str">
        <f>"GAB2028102"</f>
        <v>GAB2028102</v>
      </c>
      <c r="F513" s="3">
        <v>45897</v>
      </c>
      <c r="G513">
        <v>202605</v>
      </c>
      <c r="H513" t="s">
        <v>75</v>
      </c>
      <c r="I513" t="s">
        <v>76</v>
      </c>
      <c r="J513" t="s">
        <v>77</v>
      </c>
      <c r="K513" t="s">
        <v>78</v>
      </c>
      <c r="L513" t="s">
        <v>1485</v>
      </c>
      <c r="M513" t="s">
        <v>1486</v>
      </c>
      <c r="N513" t="s">
        <v>1487</v>
      </c>
      <c r="O513" t="s">
        <v>100</v>
      </c>
      <c r="P513" t="str">
        <f>"INVOICE 00038911 ORDGS035877  "</f>
        <v xml:space="preserve">INVOICE 00038911 ORDGS035877  </v>
      </c>
      <c r="Q513">
        <v>0</v>
      </c>
      <c r="R513">
        <v>0</v>
      </c>
      <c r="S513">
        <v>0</v>
      </c>
      <c r="T513">
        <v>0</v>
      </c>
      <c r="U513">
        <v>0</v>
      </c>
      <c r="V513">
        <v>0</v>
      </c>
      <c r="W513">
        <v>0</v>
      </c>
      <c r="X513">
        <v>0</v>
      </c>
      <c r="Y513">
        <v>0</v>
      </c>
      <c r="Z513">
        <v>0</v>
      </c>
      <c r="AA513">
        <v>0</v>
      </c>
      <c r="AB513">
        <v>0</v>
      </c>
      <c r="AC513">
        <v>0</v>
      </c>
      <c r="AD513">
        <v>0</v>
      </c>
      <c r="AE513">
        <v>0</v>
      </c>
      <c r="AF513">
        <v>0</v>
      </c>
      <c r="AG513">
        <v>0</v>
      </c>
      <c r="AH513">
        <v>0</v>
      </c>
      <c r="AI513">
        <v>0</v>
      </c>
      <c r="AJ513">
        <v>0</v>
      </c>
      <c r="AK513">
        <v>0</v>
      </c>
      <c r="AL513">
        <v>0</v>
      </c>
      <c r="AM513">
        <v>0</v>
      </c>
      <c r="AN513">
        <v>0</v>
      </c>
      <c r="AO513">
        <v>0</v>
      </c>
      <c r="AP513">
        <v>0</v>
      </c>
      <c r="AQ513">
        <v>28.85</v>
      </c>
      <c r="AR513">
        <v>0</v>
      </c>
      <c r="AS513">
        <v>0</v>
      </c>
      <c r="AT513">
        <v>0</v>
      </c>
      <c r="AU513">
        <v>0</v>
      </c>
      <c r="AV513">
        <v>0</v>
      </c>
      <c r="AW513">
        <v>0</v>
      </c>
      <c r="AX513">
        <v>0</v>
      </c>
      <c r="AY513">
        <v>0</v>
      </c>
      <c r="AZ513">
        <v>0</v>
      </c>
      <c r="BA513">
        <v>0</v>
      </c>
      <c r="BB513">
        <v>0</v>
      </c>
      <c r="BC513">
        <v>0</v>
      </c>
      <c r="BD513">
        <v>0</v>
      </c>
      <c r="BE513">
        <v>0</v>
      </c>
      <c r="BF513">
        <v>0</v>
      </c>
      <c r="BG513">
        <v>0</v>
      </c>
      <c r="BH513">
        <v>1</v>
      </c>
      <c r="BI513">
        <v>0.1</v>
      </c>
      <c r="BJ513">
        <v>2.2000000000000002</v>
      </c>
      <c r="BK513">
        <v>2.5</v>
      </c>
      <c r="BL513">
        <v>89.59</v>
      </c>
      <c r="BM513">
        <v>13.44</v>
      </c>
      <c r="BN513">
        <v>103.03</v>
      </c>
      <c r="BO513">
        <v>103.03</v>
      </c>
      <c r="BQ513" t="s">
        <v>274</v>
      </c>
      <c r="BR513" t="s">
        <v>84</v>
      </c>
      <c r="BS513" t="s">
        <v>176</v>
      </c>
      <c r="BV513" t="s">
        <v>90</v>
      </c>
      <c r="BY513">
        <v>10783</v>
      </c>
      <c r="BZ513" t="s">
        <v>102</v>
      </c>
      <c r="CC513" t="s">
        <v>1486</v>
      </c>
      <c r="CD513">
        <v>6230</v>
      </c>
      <c r="CE513" t="s">
        <v>297</v>
      </c>
      <c r="CI513">
        <v>2</v>
      </c>
      <c r="CJ513" t="s">
        <v>176</v>
      </c>
      <c r="CK513">
        <v>21</v>
      </c>
      <c r="CL513" t="s">
        <v>90</v>
      </c>
    </row>
    <row r="514" spans="1:90" x14ac:dyDescent="0.3">
      <c r="A514" t="s">
        <v>72</v>
      </c>
      <c r="B514" t="s">
        <v>73</v>
      </c>
      <c r="C514" t="s">
        <v>74</v>
      </c>
      <c r="E514" t="str">
        <f>"GAB2028106"</f>
        <v>GAB2028106</v>
      </c>
      <c r="F514" s="3">
        <v>45897</v>
      </c>
      <c r="G514">
        <v>202605</v>
      </c>
      <c r="H514" t="s">
        <v>75</v>
      </c>
      <c r="I514" t="s">
        <v>76</v>
      </c>
      <c r="J514" t="s">
        <v>77</v>
      </c>
      <c r="K514" t="s">
        <v>78</v>
      </c>
      <c r="L514" t="s">
        <v>79</v>
      </c>
      <c r="M514" t="s">
        <v>80</v>
      </c>
      <c r="N514" t="s">
        <v>1552</v>
      </c>
      <c r="O514" t="s">
        <v>100</v>
      </c>
      <c r="P514" t="str">
        <f>"INVOICE 00120507 CT096872     "</f>
        <v xml:space="preserve">INVOICE 00120507 CT096872     </v>
      </c>
      <c r="Q514">
        <v>0</v>
      </c>
      <c r="R514">
        <v>0</v>
      </c>
      <c r="S514">
        <v>0</v>
      </c>
      <c r="T514">
        <v>0</v>
      </c>
      <c r="U514">
        <v>0</v>
      </c>
      <c r="V514">
        <v>0</v>
      </c>
      <c r="W514">
        <v>0</v>
      </c>
      <c r="X514">
        <v>0</v>
      </c>
      <c r="Y514">
        <v>0</v>
      </c>
      <c r="Z514">
        <v>0</v>
      </c>
      <c r="AA514">
        <v>0</v>
      </c>
      <c r="AB514">
        <v>0</v>
      </c>
      <c r="AC514">
        <v>0</v>
      </c>
      <c r="AD514">
        <v>0</v>
      </c>
      <c r="AE514">
        <v>0</v>
      </c>
      <c r="AF514">
        <v>0</v>
      </c>
      <c r="AG514">
        <v>0</v>
      </c>
      <c r="AH514">
        <v>0</v>
      </c>
      <c r="AI514">
        <v>0</v>
      </c>
      <c r="AJ514">
        <v>0</v>
      </c>
      <c r="AK514">
        <v>0</v>
      </c>
      <c r="AL514">
        <v>0</v>
      </c>
      <c r="AM514">
        <v>0</v>
      </c>
      <c r="AN514">
        <v>0</v>
      </c>
      <c r="AO514">
        <v>0</v>
      </c>
      <c r="AP514">
        <v>0</v>
      </c>
      <c r="AQ514">
        <v>34.619999999999997</v>
      </c>
      <c r="AR514">
        <v>0</v>
      </c>
      <c r="AS514">
        <v>0</v>
      </c>
      <c r="AT514">
        <v>0</v>
      </c>
      <c r="AU514">
        <v>0</v>
      </c>
      <c r="AV514">
        <v>0</v>
      </c>
      <c r="AW514">
        <v>0</v>
      </c>
      <c r="AX514">
        <v>0</v>
      </c>
      <c r="AY514">
        <v>0</v>
      </c>
      <c r="AZ514">
        <v>0</v>
      </c>
      <c r="BA514">
        <v>0</v>
      </c>
      <c r="BB514">
        <v>0</v>
      </c>
      <c r="BC514">
        <v>0</v>
      </c>
      <c r="BD514">
        <v>0</v>
      </c>
      <c r="BE514">
        <v>0</v>
      </c>
      <c r="BF514">
        <v>0</v>
      </c>
      <c r="BG514">
        <v>0</v>
      </c>
      <c r="BH514">
        <v>1</v>
      </c>
      <c r="BI514">
        <v>0.3</v>
      </c>
      <c r="BJ514">
        <v>3</v>
      </c>
      <c r="BK514">
        <v>3</v>
      </c>
      <c r="BL514">
        <v>107.5</v>
      </c>
      <c r="BM514">
        <v>16.13</v>
      </c>
      <c r="BN514">
        <v>123.63</v>
      </c>
      <c r="BO514">
        <v>123.63</v>
      </c>
      <c r="BR514" t="s">
        <v>84</v>
      </c>
      <c r="BS514" t="s">
        <v>176</v>
      </c>
      <c r="BV514" t="s">
        <v>90</v>
      </c>
      <c r="BY514">
        <v>14943.38</v>
      </c>
      <c r="BZ514" t="s">
        <v>102</v>
      </c>
      <c r="CC514" t="s">
        <v>80</v>
      </c>
      <c r="CD514" s="5" t="s">
        <v>1553</v>
      </c>
      <c r="CE514" t="s">
        <v>143</v>
      </c>
      <c r="CI514">
        <v>1</v>
      </c>
      <c r="CJ514" t="s">
        <v>176</v>
      </c>
      <c r="CK514">
        <v>21</v>
      </c>
      <c r="CL514" t="s">
        <v>90</v>
      </c>
    </row>
    <row r="515" spans="1:90" x14ac:dyDescent="0.3">
      <c r="A515" t="s">
        <v>72</v>
      </c>
      <c r="B515" t="s">
        <v>73</v>
      </c>
      <c r="C515" t="s">
        <v>74</v>
      </c>
      <c r="E515" t="str">
        <f>"GAB2028107"</f>
        <v>GAB2028107</v>
      </c>
      <c r="F515" s="3">
        <v>45897</v>
      </c>
      <c r="G515">
        <v>202605</v>
      </c>
      <c r="H515" t="s">
        <v>75</v>
      </c>
      <c r="I515" t="s">
        <v>76</v>
      </c>
      <c r="J515" t="s">
        <v>77</v>
      </c>
      <c r="K515" t="s">
        <v>78</v>
      </c>
      <c r="L515" t="s">
        <v>79</v>
      </c>
      <c r="M515" t="s">
        <v>80</v>
      </c>
      <c r="N515" t="s">
        <v>1554</v>
      </c>
      <c r="O515" t="s">
        <v>100</v>
      </c>
      <c r="P515" t="str">
        <f>"INGM00120506 CT096842         "</f>
        <v xml:space="preserve">INGM00120506 CT096842         </v>
      </c>
      <c r="Q515">
        <v>0</v>
      </c>
      <c r="R515">
        <v>0</v>
      </c>
      <c r="S515">
        <v>0</v>
      </c>
      <c r="T515">
        <v>0</v>
      </c>
      <c r="U515">
        <v>0</v>
      </c>
      <c r="V515">
        <v>0</v>
      </c>
      <c r="W515">
        <v>0</v>
      </c>
      <c r="X515">
        <v>0</v>
      </c>
      <c r="Y515">
        <v>0</v>
      </c>
      <c r="Z515">
        <v>0</v>
      </c>
      <c r="AA515">
        <v>0</v>
      </c>
      <c r="AB515">
        <v>0</v>
      </c>
      <c r="AC515">
        <v>0</v>
      </c>
      <c r="AD515">
        <v>0</v>
      </c>
      <c r="AE515">
        <v>0</v>
      </c>
      <c r="AF515">
        <v>0</v>
      </c>
      <c r="AG515">
        <v>0</v>
      </c>
      <c r="AH515">
        <v>0</v>
      </c>
      <c r="AI515">
        <v>0</v>
      </c>
      <c r="AJ515">
        <v>0</v>
      </c>
      <c r="AK515">
        <v>0</v>
      </c>
      <c r="AL515">
        <v>0</v>
      </c>
      <c r="AM515">
        <v>0</v>
      </c>
      <c r="AN515">
        <v>0</v>
      </c>
      <c r="AO515">
        <v>0</v>
      </c>
      <c r="AP515">
        <v>0</v>
      </c>
      <c r="AQ515">
        <v>28.85</v>
      </c>
      <c r="AR515">
        <v>0</v>
      </c>
      <c r="AS515">
        <v>0</v>
      </c>
      <c r="AT515">
        <v>0</v>
      </c>
      <c r="AU515">
        <v>0</v>
      </c>
      <c r="AV515">
        <v>0</v>
      </c>
      <c r="AW515">
        <v>0</v>
      </c>
      <c r="AX515">
        <v>0</v>
      </c>
      <c r="AY515">
        <v>0</v>
      </c>
      <c r="AZ515">
        <v>0</v>
      </c>
      <c r="BA515">
        <v>0</v>
      </c>
      <c r="BB515">
        <v>0</v>
      </c>
      <c r="BC515">
        <v>0</v>
      </c>
      <c r="BD515">
        <v>0</v>
      </c>
      <c r="BE515">
        <v>0</v>
      </c>
      <c r="BF515">
        <v>0</v>
      </c>
      <c r="BG515">
        <v>0</v>
      </c>
      <c r="BH515">
        <v>1</v>
      </c>
      <c r="BI515">
        <v>0.2</v>
      </c>
      <c r="BJ515">
        <v>2.2000000000000002</v>
      </c>
      <c r="BK515">
        <v>2.5</v>
      </c>
      <c r="BL515">
        <v>89.59</v>
      </c>
      <c r="BM515">
        <v>13.44</v>
      </c>
      <c r="BN515">
        <v>103.03</v>
      </c>
      <c r="BO515">
        <v>103.03</v>
      </c>
      <c r="BR515" t="s">
        <v>84</v>
      </c>
      <c r="BS515" t="s">
        <v>176</v>
      </c>
      <c r="BV515" t="s">
        <v>90</v>
      </c>
      <c r="BY515">
        <v>10768.28</v>
      </c>
      <c r="BZ515" t="s">
        <v>102</v>
      </c>
      <c r="CC515" t="s">
        <v>80</v>
      </c>
      <c r="CD515" s="5" t="s">
        <v>88</v>
      </c>
      <c r="CE515" t="s">
        <v>143</v>
      </c>
      <c r="CI515">
        <v>1</v>
      </c>
      <c r="CJ515" t="s">
        <v>176</v>
      </c>
      <c r="CK515">
        <v>21</v>
      </c>
      <c r="CL515" t="s">
        <v>90</v>
      </c>
    </row>
    <row r="516" spans="1:90" x14ac:dyDescent="0.3">
      <c r="A516" t="s">
        <v>72</v>
      </c>
      <c r="B516" t="s">
        <v>73</v>
      </c>
      <c r="C516" t="s">
        <v>74</v>
      </c>
      <c r="E516" t="str">
        <f>"GAB2028109"</f>
        <v>GAB2028109</v>
      </c>
      <c r="F516" s="3">
        <v>45897</v>
      </c>
      <c r="G516">
        <v>202605</v>
      </c>
      <c r="H516" t="s">
        <v>75</v>
      </c>
      <c r="I516" t="s">
        <v>76</v>
      </c>
      <c r="J516" t="s">
        <v>77</v>
      </c>
      <c r="K516" t="s">
        <v>78</v>
      </c>
      <c r="L516" t="s">
        <v>126</v>
      </c>
      <c r="M516" t="s">
        <v>127</v>
      </c>
      <c r="N516" t="s">
        <v>814</v>
      </c>
      <c r="O516" t="s">
        <v>100</v>
      </c>
      <c r="P516" t="str">
        <f>"INGM00120503 CT096874         "</f>
        <v xml:space="preserve">INGM00120503 CT096874         </v>
      </c>
      <c r="Q516">
        <v>0</v>
      </c>
      <c r="R516">
        <v>0</v>
      </c>
      <c r="S516">
        <v>0</v>
      </c>
      <c r="T516">
        <v>0</v>
      </c>
      <c r="U516">
        <v>0</v>
      </c>
      <c r="V516">
        <v>0</v>
      </c>
      <c r="W516">
        <v>0</v>
      </c>
      <c r="X516">
        <v>0</v>
      </c>
      <c r="Y516">
        <v>0</v>
      </c>
      <c r="Z516">
        <v>0</v>
      </c>
      <c r="AA516">
        <v>0</v>
      </c>
      <c r="AB516">
        <v>0</v>
      </c>
      <c r="AC516">
        <v>0</v>
      </c>
      <c r="AD516">
        <v>0</v>
      </c>
      <c r="AE516">
        <v>0</v>
      </c>
      <c r="AF516">
        <v>0</v>
      </c>
      <c r="AG516">
        <v>0</v>
      </c>
      <c r="AH516">
        <v>0</v>
      </c>
      <c r="AI516">
        <v>0</v>
      </c>
      <c r="AJ516">
        <v>0</v>
      </c>
      <c r="AK516">
        <v>0</v>
      </c>
      <c r="AL516">
        <v>0</v>
      </c>
      <c r="AM516">
        <v>0</v>
      </c>
      <c r="AN516">
        <v>0</v>
      </c>
      <c r="AO516">
        <v>0</v>
      </c>
      <c r="AP516">
        <v>0</v>
      </c>
      <c r="AQ516">
        <v>18.03</v>
      </c>
      <c r="AR516">
        <v>0</v>
      </c>
      <c r="AS516">
        <v>0</v>
      </c>
      <c r="AT516">
        <v>0</v>
      </c>
      <c r="AU516">
        <v>0</v>
      </c>
      <c r="AV516">
        <v>0</v>
      </c>
      <c r="AW516">
        <v>0</v>
      </c>
      <c r="AX516">
        <v>0</v>
      </c>
      <c r="AY516">
        <v>0</v>
      </c>
      <c r="AZ516">
        <v>0</v>
      </c>
      <c r="BA516">
        <v>0</v>
      </c>
      <c r="BB516">
        <v>0</v>
      </c>
      <c r="BC516">
        <v>0</v>
      </c>
      <c r="BD516">
        <v>0</v>
      </c>
      <c r="BE516">
        <v>0</v>
      </c>
      <c r="BF516">
        <v>0</v>
      </c>
      <c r="BG516">
        <v>0</v>
      </c>
      <c r="BH516">
        <v>1</v>
      </c>
      <c r="BI516">
        <v>0.1</v>
      </c>
      <c r="BJ516">
        <v>2.2000000000000002</v>
      </c>
      <c r="BK516">
        <v>3</v>
      </c>
      <c r="BL516">
        <v>55.99</v>
      </c>
      <c r="BM516">
        <v>8.4</v>
      </c>
      <c r="BN516">
        <v>64.39</v>
      </c>
      <c r="BO516">
        <v>64.39</v>
      </c>
      <c r="BQ516" t="s">
        <v>815</v>
      </c>
      <c r="BR516" t="s">
        <v>84</v>
      </c>
      <c r="BS516" t="s">
        <v>176</v>
      </c>
      <c r="BV516" t="s">
        <v>90</v>
      </c>
      <c r="BY516">
        <v>10844.64</v>
      </c>
      <c r="BZ516" t="s">
        <v>102</v>
      </c>
      <c r="CC516" t="s">
        <v>127</v>
      </c>
      <c r="CD516">
        <v>7600</v>
      </c>
      <c r="CE516" t="s">
        <v>116</v>
      </c>
      <c r="CI516">
        <v>1</v>
      </c>
      <c r="CJ516" t="s">
        <v>176</v>
      </c>
      <c r="CK516">
        <v>22</v>
      </c>
      <c r="CL516" t="s">
        <v>90</v>
      </c>
    </row>
    <row r="517" spans="1:90" x14ac:dyDescent="0.3">
      <c r="A517" t="s">
        <v>72</v>
      </c>
      <c r="B517" t="s">
        <v>73</v>
      </c>
      <c r="C517" t="s">
        <v>74</v>
      </c>
      <c r="E517" t="str">
        <f>"GAB2028110"</f>
        <v>GAB2028110</v>
      </c>
      <c r="F517" s="3">
        <v>45897</v>
      </c>
      <c r="G517">
        <v>202605</v>
      </c>
      <c r="H517" t="s">
        <v>75</v>
      </c>
      <c r="I517" t="s">
        <v>76</v>
      </c>
      <c r="J517" t="s">
        <v>77</v>
      </c>
      <c r="K517" t="s">
        <v>78</v>
      </c>
      <c r="L517" t="s">
        <v>308</v>
      </c>
      <c r="M517" t="s">
        <v>309</v>
      </c>
      <c r="N517" t="s">
        <v>310</v>
      </c>
      <c r="O517" t="s">
        <v>100</v>
      </c>
      <c r="P517" t="str">
        <f>"INGM00120502 CT096873         "</f>
        <v xml:space="preserve">INGM00120502 CT096873         </v>
      </c>
      <c r="Q517">
        <v>0</v>
      </c>
      <c r="R517">
        <v>0</v>
      </c>
      <c r="S517">
        <v>0</v>
      </c>
      <c r="T517">
        <v>0</v>
      </c>
      <c r="U517">
        <v>0</v>
      </c>
      <c r="V517">
        <v>0</v>
      </c>
      <c r="W517">
        <v>0</v>
      </c>
      <c r="X517">
        <v>0</v>
      </c>
      <c r="Y517">
        <v>0</v>
      </c>
      <c r="Z517">
        <v>0</v>
      </c>
      <c r="AA517">
        <v>0</v>
      </c>
      <c r="AB517">
        <v>0</v>
      </c>
      <c r="AC517">
        <v>0</v>
      </c>
      <c r="AD517">
        <v>0</v>
      </c>
      <c r="AE517">
        <v>0</v>
      </c>
      <c r="AF517">
        <v>0</v>
      </c>
      <c r="AG517">
        <v>0</v>
      </c>
      <c r="AH517">
        <v>0</v>
      </c>
      <c r="AI517">
        <v>0</v>
      </c>
      <c r="AJ517">
        <v>0</v>
      </c>
      <c r="AK517">
        <v>0</v>
      </c>
      <c r="AL517">
        <v>0</v>
      </c>
      <c r="AM517">
        <v>0</v>
      </c>
      <c r="AN517">
        <v>0</v>
      </c>
      <c r="AO517">
        <v>0</v>
      </c>
      <c r="AP517">
        <v>0</v>
      </c>
      <c r="AQ517">
        <v>54.82</v>
      </c>
      <c r="AR517">
        <v>0</v>
      </c>
      <c r="AS517">
        <v>0</v>
      </c>
      <c r="AT517">
        <v>0</v>
      </c>
      <c r="AU517">
        <v>0</v>
      </c>
      <c r="AV517">
        <v>0</v>
      </c>
      <c r="AW517">
        <v>0</v>
      </c>
      <c r="AX517">
        <v>0</v>
      </c>
      <c r="AY517">
        <v>0</v>
      </c>
      <c r="AZ517">
        <v>0</v>
      </c>
      <c r="BA517">
        <v>0</v>
      </c>
      <c r="BB517">
        <v>0</v>
      </c>
      <c r="BC517">
        <v>0</v>
      </c>
      <c r="BD517">
        <v>0</v>
      </c>
      <c r="BE517">
        <v>0</v>
      </c>
      <c r="BF517">
        <v>0</v>
      </c>
      <c r="BG517">
        <v>0</v>
      </c>
      <c r="BH517">
        <v>1</v>
      </c>
      <c r="BI517">
        <v>0.2</v>
      </c>
      <c r="BJ517">
        <v>2.2000000000000002</v>
      </c>
      <c r="BK517">
        <v>2.5</v>
      </c>
      <c r="BL517">
        <v>170.24</v>
      </c>
      <c r="BM517">
        <v>25.54</v>
      </c>
      <c r="BN517">
        <v>195.78</v>
      </c>
      <c r="BO517">
        <v>195.78</v>
      </c>
      <c r="BQ517" t="s">
        <v>311</v>
      </c>
      <c r="BR517" t="s">
        <v>84</v>
      </c>
      <c r="BS517" t="s">
        <v>176</v>
      </c>
      <c r="BV517" t="s">
        <v>90</v>
      </c>
      <c r="BY517">
        <v>10871.04</v>
      </c>
      <c r="BZ517" t="s">
        <v>102</v>
      </c>
      <c r="CC517" t="s">
        <v>309</v>
      </c>
      <c r="CD517" s="5" t="s">
        <v>314</v>
      </c>
      <c r="CE517" t="s">
        <v>109</v>
      </c>
      <c r="CI517">
        <v>2</v>
      </c>
      <c r="CJ517" t="s">
        <v>176</v>
      </c>
      <c r="CK517">
        <v>23</v>
      </c>
      <c r="CL517" t="s">
        <v>90</v>
      </c>
    </row>
    <row r="518" spans="1:90" x14ac:dyDescent="0.3">
      <c r="A518" t="s">
        <v>72</v>
      </c>
      <c r="B518" t="s">
        <v>73</v>
      </c>
      <c r="C518" t="s">
        <v>74</v>
      </c>
      <c r="E518" t="str">
        <f>"GAB2028111"</f>
        <v>GAB2028111</v>
      </c>
      <c r="F518" s="3">
        <v>45897</v>
      </c>
      <c r="G518">
        <v>202605</v>
      </c>
      <c r="H518" t="s">
        <v>75</v>
      </c>
      <c r="I518" t="s">
        <v>76</v>
      </c>
      <c r="J518" t="s">
        <v>77</v>
      </c>
      <c r="K518" t="s">
        <v>78</v>
      </c>
      <c r="L518" t="s">
        <v>79</v>
      </c>
      <c r="M518" t="s">
        <v>80</v>
      </c>
      <c r="N518" t="s">
        <v>283</v>
      </c>
      <c r="O518" t="s">
        <v>100</v>
      </c>
      <c r="P518" t="str">
        <f>"INGS00038931 ORDGS035915      "</f>
        <v xml:space="preserve">INGS00038931 ORDGS035915      </v>
      </c>
      <c r="Q518">
        <v>0</v>
      </c>
      <c r="R518">
        <v>0</v>
      </c>
      <c r="S518">
        <v>0</v>
      </c>
      <c r="T518">
        <v>0</v>
      </c>
      <c r="U518">
        <v>0</v>
      </c>
      <c r="V518">
        <v>0</v>
      </c>
      <c r="W518">
        <v>0</v>
      </c>
      <c r="X518">
        <v>0</v>
      </c>
      <c r="Y518">
        <v>0</v>
      </c>
      <c r="Z518">
        <v>0</v>
      </c>
      <c r="AA518">
        <v>0</v>
      </c>
      <c r="AB518">
        <v>0</v>
      </c>
      <c r="AC518">
        <v>0</v>
      </c>
      <c r="AD518">
        <v>0</v>
      </c>
      <c r="AE518">
        <v>0</v>
      </c>
      <c r="AF518">
        <v>0</v>
      </c>
      <c r="AG518">
        <v>0</v>
      </c>
      <c r="AH518">
        <v>0</v>
      </c>
      <c r="AI518">
        <v>0</v>
      </c>
      <c r="AJ518">
        <v>0</v>
      </c>
      <c r="AK518">
        <v>0</v>
      </c>
      <c r="AL518">
        <v>0</v>
      </c>
      <c r="AM518">
        <v>0</v>
      </c>
      <c r="AN518">
        <v>0</v>
      </c>
      <c r="AO518">
        <v>0</v>
      </c>
      <c r="AP518">
        <v>0</v>
      </c>
      <c r="AQ518">
        <v>23.09</v>
      </c>
      <c r="AR518">
        <v>0</v>
      </c>
      <c r="AS518">
        <v>0</v>
      </c>
      <c r="AT518">
        <v>0</v>
      </c>
      <c r="AU518">
        <v>0</v>
      </c>
      <c r="AV518">
        <v>0</v>
      </c>
      <c r="AW518">
        <v>0</v>
      </c>
      <c r="AX518">
        <v>0</v>
      </c>
      <c r="AY518">
        <v>0</v>
      </c>
      <c r="AZ518">
        <v>0</v>
      </c>
      <c r="BA518">
        <v>0</v>
      </c>
      <c r="BB518">
        <v>0</v>
      </c>
      <c r="BC518">
        <v>0</v>
      </c>
      <c r="BD518">
        <v>0</v>
      </c>
      <c r="BE518">
        <v>0</v>
      </c>
      <c r="BF518">
        <v>0</v>
      </c>
      <c r="BG518">
        <v>0</v>
      </c>
      <c r="BH518">
        <v>1</v>
      </c>
      <c r="BI518">
        <v>0.2</v>
      </c>
      <c r="BJ518">
        <v>1.9</v>
      </c>
      <c r="BK518">
        <v>2</v>
      </c>
      <c r="BL518">
        <v>71.69</v>
      </c>
      <c r="BM518">
        <v>10.75</v>
      </c>
      <c r="BN518">
        <v>82.44</v>
      </c>
      <c r="BO518">
        <v>82.44</v>
      </c>
      <c r="BQ518" t="s">
        <v>274</v>
      </c>
      <c r="BR518" t="s">
        <v>84</v>
      </c>
      <c r="BS518" s="3">
        <v>45898</v>
      </c>
      <c r="BT518" s="4">
        <v>0.32916666666666666</v>
      </c>
      <c r="BU518" t="s">
        <v>1555</v>
      </c>
      <c r="BV518" t="s">
        <v>86</v>
      </c>
      <c r="BY518">
        <v>9701</v>
      </c>
      <c r="BZ518" t="s">
        <v>102</v>
      </c>
      <c r="CA518" t="s">
        <v>285</v>
      </c>
      <c r="CC518" t="s">
        <v>80</v>
      </c>
      <c r="CD518" s="5" t="s">
        <v>237</v>
      </c>
      <c r="CE518" t="s">
        <v>116</v>
      </c>
      <c r="CI518">
        <v>1</v>
      </c>
      <c r="CJ518">
        <v>1</v>
      </c>
      <c r="CK518">
        <v>21</v>
      </c>
      <c r="CL518" t="s">
        <v>90</v>
      </c>
    </row>
    <row r="519" spans="1:90" x14ac:dyDescent="0.3">
      <c r="A519" t="s">
        <v>72</v>
      </c>
      <c r="B519" t="s">
        <v>73</v>
      </c>
      <c r="C519" t="s">
        <v>74</v>
      </c>
      <c r="E519" t="str">
        <f>"GAB2028120"</f>
        <v>GAB2028120</v>
      </c>
      <c r="F519" s="3">
        <v>45897</v>
      </c>
      <c r="G519">
        <v>202605</v>
      </c>
      <c r="H519" t="s">
        <v>75</v>
      </c>
      <c r="I519" t="s">
        <v>76</v>
      </c>
      <c r="J519" t="s">
        <v>77</v>
      </c>
      <c r="K519" t="s">
        <v>78</v>
      </c>
      <c r="L519" t="s">
        <v>415</v>
      </c>
      <c r="M519" t="s">
        <v>416</v>
      </c>
      <c r="N519" t="s">
        <v>1556</v>
      </c>
      <c r="O519" t="s">
        <v>100</v>
      </c>
      <c r="P519" t="str">
        <f>"INGM00120520 CT096875         "</f>
        <v xml:space="preserve">INGM00120520 CT096875         </v>
      </c>
      <c r="Q519">
        <v>0</v>
      </c>
      <c r="R519">
        <v>0</v>
      </c>
      <c r="S519">
        <v>0</v>
      </c>
      <c r="T519">
        <v>0</v>
      </c>
      <c r="U519">
        <v>0</v>
      </c>
      <c r="V519">
        <v>0</v>
      </c>
      <c r="W519">
        <v>0</v>
      </c>
      <c r="X519">
        <v>0</v>
      </c>
      <c r="Y519">
        <v>0</v>
      </c>
      <c r="Z519">
        <v>0</v>
      </c>
      <c r="AA519">
        <v>0</v>
      </c>
      <c r="AB519">
        <v>0</v>
      </c>
      <c r="AC519">
        <v>0</v>
      </c>
      <c r="AD519">
        <v>0</v>
      </c>
      <c r="AE519">
        <v>0</v>
      </c>
      <c r="AF519">
        <v>0</v>
      </c>
      <c r="AG519">
        <v>0</v>
      </c>
      <c r="AH519">
        <v>0</v>
      </c>
      <c r="AI519">
        <v>0</v>
      </c>
      <c r="AJ519">
        <v>0</v>
      </c>
      <c r="AK519">
        <v>0</v>
      </c>
      <c r="AL519">
        <v>0</v>
      </c>
      <c r="AM519">
        <v>0</v>
      </c>
      <c r="AN519">
        <v>0</v>
      </c>
      <c r="AO519">
        <v>0</v>
      </c>
      <c r="AP519">
        <v>0</v>
      </c>
      <c r="AQ519">
        <v>34.619999999999997</v>
      </c>
      <c r="AR519">
        <v>0</v>
      </c>
      <c r="AS519">
        <v>0</v>
      </c>
      <c r="AT519">
        <v>0</v>
      </c>
      <c r="AU519">
        <v>0</v>
      </c>
      <c r="AV519">
        <v>0</v>
      </c>
      <c r="AW519">
        <v>16.739999999999998</v>
      </c>
      <c r="AX519">
        <v>0</v>
      </c>
      <c r="AY519">
        <v>0</v>
      </c>
      <c r="AZ519">
        <v>0</v>
      </c>
      <c r="BA519">
        <v>0</v>
      </c>
      <c r="BB519">
        <v>0</v>
      </c>
      <c r="BC519">
        <v>0</v>
      </c>
      <c r="BD519">
        <v>0</v>
      </c>
      <c r="BE519">
        <v>0</v>
      </c>
      <c r="BF519">
        <v>0</v>
      </c>
      <c r="BG519">
        <v>0</v>
      </c>
      <c r="BH519">
        <v>1</v>
      </c>
      <c r="BI519">
        <v>0.3</v>
      </c>
      <c r="BJ519">
        <v>2.8</v>
      </c>
      <c r="BK519">
        <v>3</v>
      </c>
      <c r="BL519">
        <v>124.24</v>
      </c>
      <c r="BM519">
        <v>18.64</v>
      </c>
      <c r="BN519">
        <v>142.88</v>
      </c>
      <c r="BO519">
        <v>142.88</v>
      </c>
      <c r="BQ519" t="s">
        <v>893</v>
      </c>
      <c r="BR519" t="s">
        <v>84</v>
      </c>
      <c r="BS519" t="s">
        <v>176</v>
      </c>
      <c r="BV519" t="s">
        <v>90</v>
      </c>
      <c r="BY519">
        <v>13982.22</v>
      </c>
      <c r="BZ519" t="s">
        <v>320</v>
      </c>
      <c r="CC519" t="s">
        <v>416</v>
      </c>
      <c r="CD519">
        <v>1864</v>
      </c>
      <c r="CE519" t="s">
        <v>104</v>
      </c>
      <c r="CI519">
        <v>0</v>
      </c>
      <c r="CJ519">
        <v>0</v>
      </c>
      <c r="CK519">
        <v>21</v>
      </c>
      <c r="CL519" t="s">
        <v>90</v>
      </c>
    </row>
    <row r="520" spans="1:90" x14ac:dyDescent="0.3">
      <c r="A520" t="s">
        <v>72</v>
      </c>
      <c r="B520" t="s">
        <v>73</v>
      </c>
      <c r="C520" t="s">
        <v>74</v>
      </c>
      <c r="E520" t="str">
        <f>"GAB2028122"</f>
        <v>GAB2028122</v>
      </c>
      <c r="F520" s="3">
        <v>45897</v>
      </c>
      <c r="G520">
        <v>202605</v>
      </c>
      <c r="H520" t="s">
        <v>75</v>
      </c>
      <c r="I520" t="s">
        <v>76</v>
      </c>
      <c r="J520" t="s">
        <v>77</v>
      </c>
      <c r="K520" t="s">
        <v>78</v>
      </c>
      <c r="L520" t="s">
        <v>184</v>
      </c>
      <c r="M520" t="s">
        <v>185</v>
      </c>
      <c r="N520" t="s">
        <v>240</v>
      </c>
      <c r="O520" t="s">
        <v>100</v>
      </c>
      <c r="P520" t="str">
        <f>"INVOICE 00120521 CT096876     "</f>
        <v xml:space="preserve">INVOICE 00120521 CT096876     </v>
      </c>
      <c r="Q520">
        <v>0</v>
      </c>
      <c r="R520">
        <v>0</v>
      </c>
      <c r="S520">
        <v>0</v>
      </c>
      <c r="T520">
        <v>0</v>
      </c>
      <c r="U520">
        <v>0</v>
      </c>
      <c r="V520">
        <v>0</v>
      </c>
      <c r="W520">
        <v>0</v>
      </c>
      <c r="X520">
        <v>0</v>
      </c>
      <c r="Y520">
        <v>0</v>
      </c>
      <c r="Z520">
        <v>0</v>
      </c>
      <c r="AA520">
        <v>0</v>
      </c>
      <c r="AB520">
        <v>0</v>
      </c>
      <c r="AC520">
        <v>0</v>
      </c>
      <c r="AD520">
        <v>0</v>
      </c>
      <c r="AE520">
        <v>0</v>
      </c>
      <c r="AF520">
        <v>0</v>
      </c>
      <c r="AG520">
        <v>0</v>
      </c>
      <c r="AH520">
        <v>0</v>
      </c>
      <c r="AI520">
        <v>0</v>
      </c>
      <c r="AJ520">
        <v>0</v>
      </c>
      <c r="AK520">
        <v>0</v>
      </c>
      <c r="AL520">
        <v>0</v>
      </c>
      <c r="AM520">
        <v>0</v>
      </c>
      <c r="AN520">
        <v>0</v>
      </c>
      <c r="AO520">
        <v>0</v>
      </c>
      <c r="AP520">
        <v>0</v>
      </c>
      <c r="AQ520">
        <v>28.85</v>
      </c>
      <c r="AR520">
        <v>0</v>
      </c>
      <c r="AS520">
        <v>0</v>
      </c>
      <c r="AT520">
        <v>0</v>
      </c>
      <c r="AU520">
        <v>0</v>
      </c>
      <c r="AV520">
        <v>0</v>
      </c>
      <c r="AW520">
        <v>0</v>
      </c>
      <c r="AX520">
        <v>0</v>
      </c>
      <c r="AY520">
        <v>0</v>
      </c>
      <c r="AZ520">
        <v>0</v>
      </c>
      <c r="BA520">
        <v>0</v>
      </c>
      <c r="BB520">
        <v>0</v>
      </c>
      <c r="BC520">
        <v>0</v>
      </c>
      <c r="BD520">
        <v>0</v>
      </c>
      <c r="BE520">
        <v>0</v>
      </c>
      <c r="BF520">
        <v>0</v>
      </c>
      <c r="BG520">
        <v>0</v>
      </c>
      <c r="BH520">
        <v>1</v>
      </c>
      <c r="BI520">
        <v>0.4</v>
      </c>
      <c r="BJ520">
        <v>2.4</v>
      </c>
      <c r="BK520">
        <v>2.5</v>
      </c>
      <c r="BL520">
        <v>89.59</v>
      </c>
      <c r="BM520">
        <v>13.44</v>
      </c>
      <c r="BN520">
        <v>103.03</v>
      </c>
      <c r="BO520">
        <v>103.03</v>
      </c>
      <c r="BR520" t="s">
        <v>84</v>
      </c>
      <c r="BS520" s="3">
        <v>45898</v>
      </c>
      <c r="BT520" s="4">
        <v>0.3347222222222222</v>
      </c>
      <c r="BU520" t="s">
        <v>1557</v>
      </c>
      <c r="BV520" t="s">
        <v>86</v>
      </c>
      <c r="BY520">
        <v>12183</v>
      </c>
      <c r="BZ520" t="s">
        <v>102</v>
      </c>
      <c r="CA520" t="s">
        <v>465</v>
      </c>
      <c r="CC520" t="s">
        <v>185</v>
      </c>
      <c r="CD520">
        <v>1724</v>
      </c>
      <c r="CE520" t="s">
        <v>104</v>
      </c>
      <c r="CI520">
        <v>1</v>
      </c>
      <c r="CJ520">
        <v>1</v>
      </c>
      <c r="CK520">
        <v>21</v>
      </c>
      <c r="CL520" t="s">
        <v>90</v>
      </c>
    </row>
    <row r="521" spans="1:90" x14ac:dyDescent="0.3">
      <c r="A521" t="s">
        <v>72</v>
      </c>
      <c r="B521" t="s">
        <v>73</v>
      </c>
      <c r="C521" t="s">
        <v>74</v>
      </c>
      <c r="E521" t="str">
        <f>"GAB2028123"</f>
        <v>GAB2028123</v>
      </c>
      <c r="F521" s="3">
        <v>45897</v>
      </c>
      <c r="G521">
        <v>202605</v>
      </c>
      <c r="H521" t="s">
        <v>75</v>
      </c>
      <c r="I521" t="s">
        <v>76</v>
      </c>
      <c r="J521" t="s">
        <v>77</v>
      </c>
      <c r="K521" t="s">
        <v>78</v>
      </c>
      <c r="L521" t="s">
        <v>494</v>
      </c>
      <c r="M521" t="s">
        <v>495</v>
      </c>
      <c r="N521" t="s">
        <v>948</v>
      </c>
      <c r="O521" t="s">
        <v>100</v>
      </c>
      <c r="P521" t="str">
        <f>"INGS00038956 ORDGS035617      "</f>
        <v xml:space="preserve">INGS00038956 ORDGS035617      </v>
      </c>
      <c r="Q521">
        <v>0</v>
      </c>
      <c r="R521">
        <v>0</v>
      </c>
      <c r="S521">
        <v>0</v>
      </c>
      <c r="T521">
        <v>0</v>
      </c>
      <c r="U521">
        <v>0</v>
      </c>
      <c r="V521">
        <v>0</v>
      </c>
      <c r="W521">
        <v>0</v>
      </c>
      <c r="X521">
        <v>0</v>
      </c>
      <c r="Y521">
        <v>0</v>
      </c>
      <c r="Z521">
        <v>0</v>
      </c>
      <c r="AA521">
        <v>0</v>
      </c>
      <c r="AB521">
        <v>0</v>
      </c>
      <c r="AC521">
        <v>0</v>
      </c>
      <c r="AD521">
        <v>0</v>
      </c>
      <c r="AE521">
        <v>0</v>
      </c>
      <c r="AF521">
        <v>0</v>
      </c>
      <c r="AG521">
        <v>0</v>
      </c>
      <c r="AH521">
        <v>0</v>
      </c>
      <c r="AI521">
        <v>0</v>
      </c>
      <c r="AJ521">
        <v>0</v>
      </c>
      <c r="AK521">
        <v>0</v>
      </c>
      <c r="AL521">
        <v>0</v>
      </c>
      <c r="AM521">
        <v>0</v>
      </c>
      <c r="AN521">
        <v>0</v>
      </c>
      <c r="AO521">
        <v>0</v>
      </c>
      <c r="AP521">
        <v>0</v>
      </c>
      <c r="AQ521">
        <v>23.09</v>
      </c>
      <c r="AR521">
        <v>0</v>
      </c>
      <c r="AS521">
        <v>0</v>
      </c>
      <c r="AT521">
        <v>0</v>
      </c>
      <c r="AU521">
        <v>0</v>
      </c>
      <c r="AV521">
        <v>0</v>
      </c>
      <c r="AW521">
        <v>0</v>
      </c>
      <c r="AX521">
        <v>0</v>
      </c>
      <c r="AY521">
        <v>0</v>
      </c>
      <c r="AZ521">
        <v>0</v>
      </c>
      <c r="BA521">
        <v>0</v>
      </c>
      <c r="BB521">
        <v>0</v>
      </c>
      <c r="BC521">
        <v>0</v>
      </c>
      <c r="BD521">
        <v>0</v>
      </c>
      <c r="BE521">
        <v>0</v>
      </c>
      <c r="BF521">
        <v>0</v>
      </c>
      <c r="BG521">
        <v>0</v>
      </c>
      <c r="BH521">
        <v>1</v>
      </c>
      <c r="BI521">
        <v>0.1</v>
      </c>
      <c r="BJ521">
        <v>2</v>
      </c>
      <c r="BK521">
        <v>2</v>
      </c>
      <c r="BL521">
        <v>71.69</v>
      </c>
      <c r="BM521">
        <v>10.75</v>
      </c>
      <c r="BN521">
        <v>82.44</v>
      </c>
      <c r="BO521">
        <v>82.44</v>
      </c>
      <c r="BQ521" t="s">
        <v>452</v>
      </c>
      <c r="BR521" t="s">
        <v>84</v>
      </c>
      <c r="BS521" t="s">
        <v>176</v>
      </c>
      <c r="BV521" t="s">
        <v>90</v>
      </c>
      <c r="BY521">
        <v>10036.799999999999</v>
      </c>
      <c r="BZ521" t="s">
        <v>102</v>
      </c>
      <c r="CC521" t="s">
        <v>495</v>
      </c>
      <c r="CD521">
        <v>3201</v>
      </c>
      <c r="CE521" t="s">
        <v>116</v>
      </c>
      <c r="CI521">
        <v>1</v>
      </c>
      <c r="CJ521" t="s">
        <v>176</v>
      </c>
      <c r="CK521">
        <v>21</v>
      </c>
      <c r="CL521" t="s">
        <v>90</v>
      </c>
    </row>
    <row r="522" spans="1:90" x14ac:dyDescent="0.3">
      <c r="A522" t="s">
        <v>72</v>
      </c>
      <c r="B522" t="s">
        <v>73</v>
      </c>
      <c r="C522" t="s">
        <v>74</v>
      </c>
      <c r="E522" t="str">
        <f>"GAB2028124"</f>
        <v>GAB2028124</v>
      </c>
      <c r="F522" s="3">
        <v>45897</v>
      </c>
      <c r="G522">
        <v>202605</v>
      </c>
      <c r="H522" t="s">
        <v>75</v>
      </c>
      <c r="I522" t="s">
        <v>76</v>
      </c>
      <c r="J522" t="s">
        <v>77</v>
      </c>
      <c r="K522" t="s">
        <v>78</v>
      </c>
      <c r="L522" t="s">
        <v>75</v>
      </c>
      <c r="M522" t="s">
        <v>76</v>
      </c>
      <c r="N522" t="s">
        <v>1558</v>
      </c>
      <c r="O522" t="s">
        <v>100</v>
      </c>
      <c r="P522" t="str">
        <f>"INGM00120525 CT096878         "</f>
        <v xml:space="preserve">INGM00120525 CT096878         </v>
      </c>
      <c r="Q522">
        <v>0</v>
      </c>
      <c r="R522">
        <v>0</v>
      </c>
      <c r="S522">
        <v>0</v>
      </c>
      <c r="T522">
        <v>0</v>
      </c>
      <c r="U522">
        <v>0</v>
      </c>
      <c r="V522">
        <v>0</v>
      </c>
      <c r="W522">
        <v>0</v>
      </c>
      <c r="X522">
        <v>0</v>
      </c>
      <c r="Y522">
        <v>0</v>
      </c>
      <c r="Z522">
        <v>0</v>
      </c>
      <c r="AA522">
        <v>0</v>
      </c>
      <c r="AB522">
        <v>0</v>
      </c>
      <c r="AC522">
        <v>0</v>
      </c>
      <c r="AD522">
        <v>0</v>
      </c>
      <c r="AE522">
        <v>0</v>
      </c>
      <c r="AF522">
        <v>0</v>
      </c>
      <c r="AG522">
        <v>0</v>
      </c>
      <c r="AH522">
        <v>0</v>
      </c>
      <c r="AI522">
        <v>0</v>
      </c>
      <c r="AJ522">
        <v>0</v>
      </c>
      <c r="AK522">
        <v>0</v>
      </c>
      <c r="AL522">
        <v>0</v>
      </c>
      <c r="AM522">
        <v>0</v>
      </c>
      <c r="AN522">
        <v>0</v>
      </c>
      <c r="AO522">
        <v>0</v>
      </c>
      <c r="AP522">
        <v>0</v>
      </c>
      <c r="AQ522">
        <v>18.03</v>
      </c>
      <c r="AR522">
        <v>0</v>
      </c>
      <c r="AS522">
        <v>0</v>
      </c>
      <c r="AT522">
        <v>0</v>
      </c>
      <c r="AU522">
        <v>0</v>
      </c>
      <c r="AV522">
        <v>0</v>
      </c>
      <c r="AW522">
        <v>0</v>
      </c>
      <c r="AX522">
        <v>0</v>
      </c>
      <c r="AY522">
        <v>0</v>
      </c>
      <c r="AZ522">
        <v>0</v>
      </c>
      <c r="BA522">
        <v>0</v>
      </c>
      <c r="BB522">
        <v>0</v>
      </c>
      <c r="BC522">
        <v>0</v>
      </c>
      <c r="BD522">
        <v>0</v>
      </c>
      <c r="BE522">
        <v>0</v>
      </c>
      <c r="BF522">
        <v>0</v>
      </c>
      <c r="BG522">
        <v>0</v>
      </c>
      <c r="BH522">
        <v>1</v>
      </c>
      <c r="BI522">
        <v>0.6</v>
      </c>
      <c r="BJ522">
        <v>1.8</v>
      </c>
      <c r="BK522">
        <v>2</v>
      </c>
      <c r="BL522">
        <v>55.99</v>
      </c>
      <c r="BM522">
        <v>8.4</v>
      </c>
      <c r="BN522">
        <v>64.39</v>
      </c>
      <c r="BO522">
        <v>64.39</v>
      </c>
      <c r="BQ522" t="s">
        <v>1559</v>
      </c>
      <c r="BR522" t="s">
        <v>84</v>
      </c>
      <c r="BS522" t="s">
        <v>176</v>
      </c>
      <c r="BV522" t="s">
        <v>90</v>
      </c>
      <c r="BY522">
        <v>8896.65</v>
      </c>
      <c r="BZ522" t="s">
        <v>102</v>
      </c>
      <c r="CC522" t="s">
        <v>76</v>
      </c>
      <c r="CD522">
        <v>7441</v>
      </c>
      <c r="CE522" t="s">
        <v>164</v>
      </c>
      <c r="CI522">
        <v>1</v>
      </c>
      <c r="CJ522" t="s">
        <v>176</v>
      </c>
      <c r="CK522">
        <v>22</v>
      </c>
      <c r="CL522" t="s">
        <v>90</v>
      </c>
    </row>
    <row r="523" spans="1:90" x14ac:dyDescent="0.3">
      <c r="A523" t="s">
        <v>72</v>
      </c>
      <c r="B523" t="s">
        <v>73</v>
      </c>
      <c r="C523" t="s">
        <v>74</v>
      </c>
      <c r="E523" t="str">
        <f>"GAB2028125"</f>
        <v>GAB2028125</v>
      </c>
      <c r="F523" s="3">
        <v>45897</v>
      </c>
      <c r="G523">
        <v>202605</v>
      </c>
      <c r="H523" t="s">
        <v>75</v>
      </c>
      <c r="I523" t="s">
        <v>76</v>
      </c>
      <c r="J523" t="s">
        <v>77</v>
      </c>
      <c r="K523" t="s">
        <v>78</v>
      </c>
      <c r="L523" t="s">
        <v>345</v>
      </c>
      <c r="M523" t="s">
        <v>346</v>
      </c>
      <c r="N523" t="s">
        <v>900</v>
      </c>
      <c r="O523" t="s">
        <v>100</v>
      </c>
      <c r="P523" t="str">
        <f>"INVOICE 00120528 CT096880     "</f>
        <v xml:space="preserve">INVOICE 00120528 CT096880     </v>
      </c>
      <c r="Q523">
        <v>0</v>
      </c>
      <c r="R523">
        <v>0</v>
      </c>
      <c r="S523">
        <v>0</v>
      </c>
      <c r="T523">
        <v>0</v>
      </c>
      <c r="U523">
        <v>0</v>
      </c>
      <c r="V523">
        <v>0</v>
      </c>
      <c r="W523">
        <v>0</v>
      </c>
      <c r="X523">
        <v>0</v>
      </c>
      <c r="Y523">
        <v>0</v>
      </c>
      <c r="Z523">
        <v>0</v>
      </c>
      <c r="AA523">
        <v>0</v>
      </c>
      <c r="AB523">
        <v>0</v>
      </c>
      <c r="AC523">
        <v>0</v>
      </c>
      <c r="AD523">
        <v>0</v>
      </c>
      <c r="AE523">
        <v>0</v>
      </c>
      <c r="AF523">
        <v>0</v>
      </c>
      <c r="AG523">
        <v>0</v>
      </c>
      <c r="AH523">
        <v>0</v>
      </c>
      <c r="AI523">
        <v>0</v>
      </c>
      <c r="AJ523">
        <v>0</v>
      </c>
      <c r="AK523">
        <v>0</v>
      </c>
      <c r="AL523">
        <v>0</v>
      </c>
      <c r="AM523">
        <v>0</v>
      </c>
      <c r="AN523">
        <v>0</v>
      </c>
      <c r="AO523">
        <v>0</v>
      </c>
      <c r="AP523">
        <v>0</v>
      </c>
      <c r="AQ523">
        <v>34.619999999999997</v>
      </c>
      <c r="AR523">
        <v>0</v>
      </c>
      <c r="AS523">
        <v>0</v>
      </c>
      <c r="AT523">
        <v>0</v>
      </c>
      <c r="AU523">
        <v>0</v>
      </c>
      <c r="AV523">
        <v>0</v>
      </c>
      <c r="AW523">
        <v>0</v>
      </c>
      <c r="AX523">
        <v>0</v>
      </c>
      <c r="AY523">
        <v>0</v>
      </c>
      <c r="AZ523">
        <v>0</v>
      </c>
      <c r="BA523">
        <v>0</v>
      </c>
      <c r="BB523">
        <v>0</v>
      </c>
      <c r="BC523">
        <v>0</v>
      </c>
      <c r="BD523">
        <v>0</v>
      </c>
      <c r="BE523">
        <v>0</v>
      </c>
      <c r="BF523">
        <v>0</v>
      </c>
      <c r="BG523">
        <v>0</v>
      </c>
      <c r="BH523">
        <v>1</v>
      </c>
      <c r="BI523">
        <v>0.3</v>
      </c>
      <c r="BJ523">
        <v>2.6</v>
      </c>
      <c r="BK523">
        <v>3</v>
      </c>
      <c r="BL523">
        <v>107.5</v>
      </c>
      <c r="BM523">
        <v>16.13</v>
      </c>
      <c r="BN523">
        <v>123.63</v>
      </c>
      <c r="BO523">
        <v>123.63</v>
      </c>
      <c r="BQ523" t="s">
        <v>597</v>
      </c>
      <c r="BR523" t="s">
        <v>84</v>
      </c>
      <c r="BS523" t="s">
        <v>176</v>
      </c>
      <c r="BV523" t="s">
        <v>90</v>
      </c>
      <c r="BY523">
        <v>12846.08</v>
      </c>
      <c r="BZ523" t="s">
        <v>102</v>
      </c>
      <c r="CC523" t="s">
        <v>346</v>
      </c>
      <c r="CD523">
        <v>9301</v>
      </c>
      <c r="CE523" t="s">
        <v>1560</v>
      </c>
      <c r="CI523">
        <v>2</v>
      </c>
      <c r="CJ523" t="s">
        <v>176</v>
      </c>
      <c r="CK523">
        <v>21</v>
      </c>
      <c r="CL523" t="s">
        <v>90</v>
      </c>
    </row>
    <row r="524" spans="1:90" x14ac:dyDescent="0.3">
      <c r="A524" t="s">
        <v>72</v>
      </c>
      <c r="B524" t="s">
        <v>73</v>
      </c>
      <c r="C524" t="s">
        <v>74</v>
      </c>
      <c r="E524" t="str">
        <f>"GAB2028128"</f>
        <v>GAB2028128</v>
      </c>
      <c r="F524" s="3">
        <v>45897</v>
      </c>
      <c r="G524">
        <v>202605</v>
      </c>
      <c r="H524" t="s">
        <v>75</v>
      </c>
      <c r="I524" t="s">
        <v>76</v>
      </c>
      <c r="J524" t="s">
        <v>77</v>
      </c>
      <c r="K524" t="s">
        <v>78</v>
      </c>
      <c r="L524" t="s">
        <v>444</v>
      </c>
      <c r="M524" t="s">
        <v>445</v>
      </c>
      <c r="N524" t="s">
        <v>1442</v>
      </c>
      <c r="O524" t="s">
        <v>100</v>
      </c>
      <c r="P524" t="str">
        <f>"INGM00120530 CT096881         "</f>
        <v xml:space="preserve">INGM00120530 CT096881         </v>
      </c>
      <c r="Q524">
        <v>0</v>
      </c>
      <c r="R524">
        <v>0</v>
      </c>
      <c r="S524">
        <v>0</v>
      </c>
      <c r="T524">
        <v>0</v>
      </c>
      <c r="U524">
        <v>0</v>
      </c>
      <c r="V524">
        <v>0</v>
      </c>
      <c r="W524">
        <v>0</v>
      </c>
      <c r="X524">
        <v>0</v>
      </c>
      <c r="Y524">
        <v>0</v>
      </c>
      <c r="Z524">
        <v>0</v>
      </c>
      <c r="AA524">
        <v>0</v>
      </c>
      <c r="AB524">
        <v>0</v>
      </c>
      <c r="AC524">
        <v>0</v>
      </c>
      <c r="AD524">
        <v>0</v>
      </c>
      <c r="AE524">
        <v>0</v>
      </c>
      <c r="AF524">
        <v>0</v>
      </c>
      <c r="AG524">
        <v>0</v>
      </c>
      <c r="AH524">
        <v>0</v>
      </c>
      <c r="AI524">
        <v>0</v>
      </c>
      <c r="AJ524">
        <v>0</v>
      </c>
      <c r="AK524">
        <v>0</v>
      </c>
      <c r="AL524">
        <v>0</v>
      </c>
      <c r="AM524">
        <v>0</v>
      </c>
      <c r="AN524">
        <v>0</v>
      </c>
      <c r="AO524">
        <v>0</v>
      </c>
      <c r="AP524">
        <v>0</v>
      </c>
      <c r="AQ524">
        <v>54.82</v>
      </c>
      <c r="AR524">
        <v>0</v>
      </c>
      <c r="AS524">
        <v>0</v>
      </c>
      <c r="AT524">
        <v>0</v>
      </c>
      <c r="AU524">
        <v>0</v>
      </c>
      <c r="AV524">
        <v>0</v>
      </c>
      <c r="AW524">
        <v>0</v>
      </c>
      <c r="AX524">
        <v>0</v>
      </c>
      <c r="AY524">
        <v>0</v>
      </c>
      <c r="AZ524">
        <v>0</v>
      </c>
      <c r="BA524">
        <v>0</v>
      </c>
      <c r="BB524">
        <v>0</v>
      </c>
      <c r="BC524">
        <v>0</v>
      </c>
      <c r="BD524">
        <v>0</v>
      </c>
      <c r="BE524">
        <v>0</v>
      </c>
      <c r="BF524">
        <v>0</v>
      </c>
      <c r="BG524">
        <v>0</v>
      </c>
      <c r="BH524">
        <v>1</v>
      </c>
      <c r="BI524">
        <v>0.3</v>
      </c>
      <c r="BJ524">
        <v>2.4</v>
      </c>
      <c r="BK524">
        <v>2.5</v>
      </c>
      <c r="BL524">
        <v>170.24</v>
      </c>
      <c r="BM524">
        <v>25.54</v>
      </c>
      <c r="BN524">
        <v>195.78</v>
      </c>
      <c r="BO524">
        <v>195.78</v>
      </c>
      <c r="BQ524" t="s">
        <v>1561</v>
      </c>
      <c r="BR524" t="s">
        <v>84</v>
      </c>
      <c r="BS524" t="s">
        <v>176</v>
      </c>
      <c r="BV524" t="s">
        <v>90</v>
      </c>
      <c r="BY524">
        <v>12153.24</v>
      </c>
      <c r="BZ524" t="s">
        <v>102</v>
      </c>
      <c r="CC524" t="s">
        <v>445</v>
      </c>
      <c r="CD524" s="5" t="s">
        <v>450</v>
      </c>
      <c r="CE524" t="s">
        <v>143</v>
      </c>
      <c r="CI524">
        <v>2</v>
      </c>
      <c r="CJ524" t="s">
        <v>176</v>
      </c>
      <c r="CK524">
        <v>23</v>
      </c>
      <c r="CL524" t="s">
        <v>90</v>
      </c>
    </row>
    <row r="525" spans="1:90" x14ac:dyDescent="0.3">
      <c r="A525" t="s">
        <v>72</v>
      </c>
      <c r="B525" t="s">
        <v>73</v>
      </c>
      <c r="C525" t="s">
        <v>74</v>
      </c>
      <c r="E525" t="str">
        <f>"GAB2028130"</f>
        <v>GAB2028130</v>
      </c>
      <c r="F525" s="3">
        <v>45897</v>
      </c>
      <c r="G525">
        <v>202605</v>
      </c>
      <c r="H525" t="s">
        <v>75</v>
      </c>
      <c r="I525" t="s">
        <v>76</v>
      </c>
      <c r="J525" t="s">
        <v>77</v>
      </c>
      <c r="K525" t="s">
        <v>78</v>
      </c>
      <c r="L525" t="s">
        <v>875</v>
      </c>
      <c r="M525" t="s">
        <v>876</v>
      </c>
      <c r="N525" t="s">
        <v>1562</v>
      </c>
      <c r="O525" t="s">
        <v>100</v>
      </c>
      <c r="P525" t="str">
        <f>"INVOICE 00120533 CT096845     "</f>
        <v xml:space="preserve">INVOICE 00120533 CT096845     </v>
      </c>
      <c r="Q525">
        <v>0</v>
      </c>
      <c r="R525">
        <v>0</v>
      </c>
      <c r="S525">
        <v>0</v>
      </c>
      <c r="T525">
        <v>0</v>
      </c>
      <c r="U525">
        <v>0</v>
      </c>
      <c r="V525">
        <v>0</v>
      </c>
      <c r="W525">
        <v>0</v>
      </c>
      <c r="X525">
        <v>0</v>
      </c>
      <c r="Y525">
        <v>0</v>
      </c>
      <c r="Z525">
        <v>0</v>
      </c>
      <c r="AA525">
        <v>0</v>
      </c>
      <c r="AB525">
        <v>0</v>
      </c>
      <c r="AC525">
        <v>0</v>
      </c>
      <c r="AD525">
        <v>0</v>
      </c>
      <c r="AE525">
        <v>0</v>
      </c>
      <c r="AF525">
        <v>0</v>
      </c>
      <c r="AG525">
        <v>0</v>
      </c>
      <c r="AH525">
        <v>0</v>
      </c>
      <c r="AI525">
        <v>0</v>
      </c>
      <c r="AJ525">
        <v>0</v>
      </c>
      <c r="AK525">
        <v>0</v>
      </c>
      <c r="AL525">
        <v>0</v>
      </c>
      <c r="AM525">
        <v>0</v>
      </c>
      <c r="AN525">
        <v>0</v>
      </c>
      <c r="AO525">
        <v>0</v>
      </c>
      <c r="AP525">
        <v>0</v>
      </c>
      <c r="AQ525">
        <v>23.09</v>
      </c>
      <c r="AR525">
        <v>0</v>
      </c>
      <c r="AS525">
        <v>0</v>
      </c>
      <c r="AT525">
        <v>0</v>
      </c>
      <c r="AU525">
        <v>0</v>
      </c>
      <c r="AV525">
        <v>0</v>
      </c>
      <c r="AW525">
        <v>0</v>
      </c>
      <c r="AX525">
        <v>0</v>
      </c>
      <c r="AY525">
        <v>0</v>
      </c>
      <c r="AZ525">
        <v>0</v>
      </c>
      <c r="BA525">
        <v>0</v>
      </c>
      <c r="BB525">
        <v>0</v>
      </c>
      <c r="BC525">
        <v>0</v>
      </c>
      <c r="BD525">
        <v>0</v>
      </c>
      <c r="BE525">
        <v>0</v>
      </c>
      <c r="BF525">
        <v>0</v>
      </c>
      <c r="BG525">
        <v>0</v>
      </c>
      <c r="BH525">
        <v>1</v>
      </c>
      <c r="BI525">
        <v>0.8</v>
      </c>
      <c r="BJ525">
        <v>1.7</v>
      </c>
      <c r="BK525">
        <v>2</v>
      </c>
      <c r="BL525">
        <v>71.69</v>
      </c>
      <c r="BM525">
        <v>10.75</v>
      </c>
      <c r="BN525">
        <v>82.44</v>
      </c>
      <c r="BO525">
        <v>82.44</v>
      </c>
      <c r="BR525" t="s">
        <v>84</v>
      </c>
      <c r="BS525" t="s">
        <v>176</v>
      </c>
      <c r="BV525" t="s">
        <v>90</v>
      </c>
      <c r="BY525">
        <v>8734.25</v>
      </c>
      <c r="BZ525" t="s">
        <v>102</v>
      </c>
      <c r="CC525" t="s">
        <v>876</v>
      </c>
      <c r="CD525">
        <v>6529</v>
      </c>
      <c r="CE525" t="s">
        <v>265</v>
      </c>
      <c r="CI525">
        <v>1</v>
      </c>
      <c r="CJ525" t="s">
        <v>176</v>
      </c>
      <c r="CK525">
        <v>21</v>
      </c>
      <c r="CL525" t="s">
        <v>90</v>
      </c>
    </row>
    <row r="526" spans="1:90" x14ac:dyDescent="0.3">
      <c r="A526" t="s">
        <v>72</v>
      </c>
      <c r="B526" t="s">
        <v>73</v>
      </c>
      <c r="C526" t="s">
        <v>74</v>
      </c>
      <c r="E526" t="str">
        <f>"GAB2028131"</f>
        <v>GAB2028131</v>
      </c>
      <c r="F526" s="3">
        <v>45897</v>
      </c>
      <c r="G526">
        <v>202605</v>
      </c>
      <c r="H526" t="s">
        <v>75</v>
      </c>
      <c r="I526" t="s">
        <v>76</v>
      </c>
      <c r="J526" t="s">
        <v>77</v>
      </c>
      <c r="K526" t="s">
        <v>78</v>
      </c>
      <c r="L526" t="s">
        <v>75</v>
      </c>
      <c r="M526" t="s">
        <v>76</v>
      </c>
      <c r="N526" t="s">
        <v>1563</v>
      </c>
      <c r="O526" t="s">
        <v>100</v>
      </c>
      <c r="P526" t="str">
        <f>"INVOICE 00120532 CT096846     "</f>
        <v xml:space="preserve">INVOICE 00120532 CT096846     </v>
      </c>
      <c r="Q526">
        <v>0</v>
      </c>
      <c r="R526">
        <v>0</v>
      </c>
      <c r="S526">
        <v>0</v>
      </c>
      <c r="T526">
        <v>0</v>
      </c>
      <c r="U526">
        <v>0</v>
      </c>
      <c r="V526">
        <v>0</v>
      </c>
      <c r="W526">
        <v>0</v>
      </c>
      <c r="X526">
        <v>0</v>
      </c>
      <c r="Y526">
        <v>0</v>
      </c>
      <c r="Z526">
        <v>0</v>
      </c>
      <c r="AA526">
        <v>0</v>
      </c>
      <c r="AB526">
        <v>0</v>
      </c>
      <c r="AC526">
        <v>0</v>
      </c>
      <c r="AD526">
        <v>0</v>
      </c>
      <c r="AE526">
        <v>0</v>
      </c>
      <c r="AF526">
        <v>0</v>
      </c>
      <c r="AG526">
        <v>0</v>
      </c>
      <c r="AH526">
        <v>0</v>
      </c>
      <c r="AI526">
        <v>0</v>
      </c>
      <c r="AJ526">
        <v>0</v>
      </c>
      <c r="AK526">
        <v>0</v>
      </c>
      <c r="AL526">
        <v>0</v>
      </c>
      <c r="AM526">
        <v>0</v>
      </c>
      <c r="AN526">
        <v>0</v>
      </c>
      <c r="AO526">
        <v>0</v>
      </c>
      <c r="AP526">
        <v>0</v>
      </c>
      <c r="AQ526">
        <v>18.03</v>
      </c>
      <c r="AR526">
        <v>0</v>
      </c>
      <c r="AS526">
        <v>0</v>
      </c>
      <c r="AT526">
        <v>0</v>
      </c>
      <c r="AU526">
        <v>0</v>
      </c>
      <c r="AV526">
        <v>0</v>
      </c>
      <c r="AW526">
        <v>0</v>
      </c>
      <c r="AX526">
        <v>0</v>
      </c>
      <c r="AY526">
        <v>0</v>
      </c>
      <c r="AZ526">
        <v>0</v>
      </c>
      <c r="BA526">
        <v>0</v>
      </c>
      <c r="BB526">
        <v>0</v>
      </c>
      <c r="BC526">
        <v>0</v>
      </c>
      <c r="BD526">
        <v>0</v>
      </c>
      <c r="BE526">
        <v>0</v>
      </c>
      <c r="BF526">
        <v>0</v>
      </c>
      <c r="BG526">
        <v>0</v>
      </c>
      <c r="BH526">
        <v>1</v>
      </c>
      <c r="BI526">
        <v>0.4</v>
      </c>
      <c r="BJ526">
        <v>2.2000000000000002</v>
      </c>
      <c r="BK526">
        <v>3</v>
      </c>
      <c r="BL526">
        <v>55.99</v>
      </c>
      <c r="BM526">
        <v>8.4</v>
      </c>
      <c r="BN526">
        <v>64.39</v>
      </c>
      <c r="BO526">
        <v>64.39</v>
      </c>
      <c r="BQ526" t="s">
        <v>1459</v>
      </c>
      <c r="BR526" t="s">
        <v>84</v>
      </c>
      <c r="BS526" t="s">
        <v>176</v>
      </c>
      <c r="BV526" t="s">
        <v>90</v>
      </c>
      <c r="BY526">
        <v>11217.6</v>
      </c>
      <c r="BZ526" t="s">
        <v>102</v>
      </c>
      <c r="CC526" t="s">
        <v>76</v>
      </c>
      <c r="CD526">
        <v>7460</v>
      </c>
      <c r="CE526" t="s">
        <v>544</v>
      </c>
      <c r="CI526">
        <v>1</v>
      </c>
      <c r="CJ526" t="s">
        <v>176</v>
      </c>
      <c r="CK526">
        <v>22</v>
      </c>
      <c r="CL526" t="s">
        <v>90</v>
      </c>
    </row>
    <row r="527" spans="1:90" x14ac:dyDescent="0.3">
      <c r="A527" t="s">
        <v>72</v>
      </c>
      <c r="B527" t="s">
        <v>73</v>
      </c>
      <c r="C527" t="s">
        <v>74</v>
      </c>
      <c r="E527" t="str">
        <f>"GAB2028132"</f>
        <v>GAB2028132</v>
      </c>
      <c r="F527" s="3">
        <v>45897</v>
      </c>
      <c r="G527">
        <v>202605</v>
      </c>
      <c r="H527" t="s">
        <v>75</v>
      </c>
      <c r="I527" t="s">
        <v>76</v>
      </c>
      <c r="J527" t="s">
        <v>77</v>
      </c>
      <c r="K527" t="s">
        <v>78</v>
      </c>
      <c r="L527" t="s">
        <v>75</v>
      </c>
      <c r="M527" t="s">
        <v>76</v>
      </c>
      <c r="N527" t="s">
        <v>699</v>
      </c>
      <c r="O527" t="s">
        <v>100</v>
      </c>
      <c r="P527" t="str">
        <f>"INVOICES - 00120535 531 CT0968"</f>
        <v>INVOICES - 00120535 531 CT0968</v>
      </c>
      <c r="Q527">
        <v>0</v>
      </c>
      <c r="R527">
        <v>0</v>
      </c>
      <c r="S527">
        <v>0</v>
      </c>
      <c r="T527">
        <v>0</v>
      </c>
      <c r="U527">
        <v>0</v>
      </c>
      <c r="V527">
        <v>0</v>
      </c>
      <c r="W527">
        <v>0</v>
      </c>
      <c r="X527">
        <v>0</v>
      </c>
      <c r="Y527">
        <v>0</v>
      </c>
      <c r="Z527">
        <v>0</v>
      </c>
      <c r="AA527">
        <v>0</v>
      </c>
      <c r="AB527">
        <v>0</v>
      </c>
      <c r="AC527">
        <v>0</v>
      </c>
      <c r="AD527">
        <v>0</v>
      </c>
      <c r="AE527">
        <v>0</v>
      </c>
      <c r="AF527">
        <v>0</v>
      </c>
      <c r="AG527">
        <v>0</v>
      </c>
      <c r="AH527">
        <v>0</v>
      </c>
      <c r="AI527">
        <v>0</v>
      </c>
      <c r="AJ527">
        <v>0</v>
      </c>
      <c r="AK527">
        <v>0</v>
      </c>
      <c r="AL527">
        <v>0</v>
      </c>
      <c r="AM527">
        <v>0</v>
      </c>
      <c r="AN527">
        <v>0</v>
      </c>
      <c r="AO527">
        <v>0</v>
      </c>
      <c r="AP527">
        <v>0</v>
      </c>
      <c r="AQ527">
        <v>18.03</v>
      </c>
      <c r="AR527">
        <v>0</v>
      </c>
      <c r="AS527">
        <v>0</v>
      </c>
      <c r="AT527">
        <v>0</v>
      </c>
      <c r="AU527">
        <v>0</v>
      </c>
      <c r="AV527">
        <v>0</v>
      </c>
      <c r="AW527">
        <v>0</v>
      </c>
      <c r="AX527">
        <v>0</v>
      </c>
      <c r="AY527">
        <v>0</v>
      </c>
      <c r="AZ527">
        <v>0</v>
      </c>
      <c r="BA527">
        <v>0</v>
      </c>
      <c r="BB527">
        <v>0</v>
      </c>
      <c r="BC527">
        <v>0</v>
      </c>
      <c r="BD527">
        <v>0</v>
      </c>
      <c r="BE527">
        <v>0</v>
      </c>
      <c r="BF527">
        <v>0</v>
      </c>
      <c r="BG527">
        <v>0</v>
      </c>
      <c r="BH527">
        <v>1</v>
      </c>
      <c r="BI527">
        <v>1</v>
      </c>
      <c r="BJ527">
        <v>1.7</v>
      </c>
      <c r="BK527">
        <v>2</v>
      </c>
      <c r="BL527">
        <v>55.99</v>
      </c>
      <c r="BM527">
        <v>8.4</v>
      </c>
      <c r="BN527">
        <v>64.39</v>
      </c>
      <c r="BO527">
        <v>64.39</v>
      </c>
      <c r="BQ527" t="s">
        <v>700</v>
      </c>
      <c r="BR527" t="s">
        <v>84</v>
      </c>
      <c r="BS527" t="s">
        <v>176</v>
      </c>
      <c r="BV527" t="s">
        <v>90</v>
      </c>
      <c r="BY527">
        <v>8400</v>
      </c>
      <c r="BZ527" t="s">
        <v>102</v>
      </c>
      <c r="CC527" t="s">
        <v>76</v>
      </c>
      <c r="CD527">
        <v>7441</v>
      </c>
      <c r="CE527" t="s">
        <v>873</v>
      </c>
      <c r="CI527">
        <v>1</v>
      </c>
      <c r="CJ527" t="s">
        <v>176</v>
      </c>
      <c r="CK527">
        <v>22</v>
      </c>
      <c r="CL527" t="s">
        <v>90</v>
      </c>
    </row>
    <row r="528" spans="1:90" x14ac:dyDescent="0.3">
      <c r="A528" t="s">
        <v>72</v>
      </c>
      <c r="B528" t="s">
        <v>73</v>
      </c>
      <c r="C528" t="s">
        <v>74</v>
      </c>
      <c r="E528" t="str">
        <f>"GAB2028134"</f>
        <v>GAB2028134</v>
      </c>
      <c r="F528" s="3">
        <v>45897</v>
      </c>
      <c r="G528">
        <v>202605</v>
      </c>
      <c r="H528" t="s">
        <v>75</v>
      </c>
      <c r="I528" t="s">
        <v>76</v>
      </c>
      <c r="J528" t="s">
        <v>77</v>
      </c>
      <c r="K528" t="s">
        <v>78</v>
      </c>
      <c r="L528" t="s">
        <v>75</v>
      </c>
      <c r="M528" t="s">
        <v>76</v>
      </c>
      <c r="N528" t="s">
        <v>224</v>
      </c>
      <c r="O528" t="s">
        <v>100</v>
      </c>
      <c r="P528" t="str">
        <f>"00120534 CT0096883            "</f>
        <v xml:space="preserve">00120534 CT0096883            </v>
      </c>
      <c r="Q528">
        <v>0</v>
      </c>
      <c r="R528">
        <v>0</v>
      </c>
      <c r="S528">
        <v>0</v>
      </c>
      <c r="T528">
        <v>0</v>
      </c>
      <c r="U528">
        <v>0</v>
      </c>
      <c r="V528">
        <v>0</v>
      </c>
      <c r="W528">
        <v>0</v>
      </c>
      <c r="X528">
        <v>0</v>
      </c>
      <c r="Y528">
        <v>0</v>
      </c>
      <c r="Z528">
        <v>0</v>
      </c>
      <c r="AA528">
        <v>0</v>
      </c>
      <c r="AB528">
        <v>0</v>
      </c>
      <c r="AC528">
        <v>0</v>
      </c>
      <c r="AD528">
        <v>0</v>
      </c>
      <c r="AE528">
        <v>0</v>
      </c>
      <c r="AF528">
        <v>0</v>
      </c>
      <c r="AG528">
        <v>0</v>
      </c>
      <c r="AH528">
        <v>0</v>
      </c>
      <c r="AI528">
        <v>0</v>
      </c>
      <c r="AJ528">
        <v>0</v>
      </c>
      <c r="AK528">
        <v>0</v>
      </c>
      <c r="AL528">
        <v>0</v>
      </c>
      <c r="AM528">
        <v>0</v>
      </c>
      <c r="AN528">
        <v>0</v>
      </c>
      <c r="AO528">
        <v>0</v>
      </c>
      <c r="AP528">
        <v>0</v>
      </c>
      <c r="AQ528">
        <v>18.03</v>
      </c>
      <c r="AR528">
        <v>0</v>
      </c>
      <c r="AS528">
        <v>0</v>
      </c>
      <c r="AT528">
        <v>0</v>
      </c>
      <c r="AU528">
        <v>0</v>
      </c>
      <c r="AV528">
        <v>0</v>
      </c>
      <c r="AW528">
        <v>0</v>
      </c>
      <c r="AX528">
        <v>0</v>
      </c>
      <c r="AY528">
        <v>0</v>
      </c>
      <c r="AZ528">
        <v>0</v>
      </c>
      <c r="BA528">
        <v>0</v>
      </c>
      <c r="BB528">
        <v>0</v>
      </c>
      <c r="BC528">
        <v>0</v>
      </c>
      <c r="BD528">
        <v>0</v>
      </c>
      <c r="BE528">
        <v>0</v>
      </c>
      <c r="BF528">
        <v>0</v>
      </c>
      <c r="BG528">
        <v>0</v>
      </c>
      <c r="BH528">
        <v>1</v>
      </c>
      <c r="BI528">
        <v>0.2</v>
      </c>
      <c r="BJ528">
        <v>2.2000000000000002</v>
      </c>
      <c r="BK528">
        <v>3</v>
      </c>
      <c r="BL528">
        <v>55.99</v>
      </c>
      <c r="BM528">
        <v>8.4</v>
      </c>
      <c r="BN528">
        <v>64.39</v>
      </c>
      <c r="BO528">
        <v>64.39</v>
      </c>
      <c r="BQ528" t="s">
        <v>225</v>
      </c>
      <c r="BR528" t="s">
        <v>84</v>
      </c>
      <c r="BS528" t="s">
        <v>176</v>
      </c>
      <c r="BV528" t="s">
        <v>90</v>
      </c>
      <c r="BY528">
        <v>10771.2</v>
      </c>
      <c r="BZ528" t="s">
        <v>102</v>
      </c>
      <c r="CC528" t="s">
        <v>76</v>
      </c>
      <c r="CD528">
        <v>7700</v>
      </c>
      <c r="CE528" t="s">
        <v>109</v>
      </c>
      <c r="CI528">
        <v>1</v>
      </c>
      <c r="CJ528" t="s">
        <v>176</v>
      </c>
      <c r="CK528">
        <v>22</v>
      </c>
      <c r="CL528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sdrascd7-IENOMKE130676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2025-08-29T08:04:32Z</dcterms:created>
  <dcterms:modified xsi:type="dcterms:W3CDTF">2025-08-29T08:04:51Z</dcterms:modified>
</cp:coreProperties>
</file>