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3ADF30B-B6A0-4507-864A-31B9E50BFC87}" xr6:coauthVersionLast="47" xr6:coauthVersionMax="47" xr10:uidLastSave="{00000000-0000-0000-0000-000000000000}"/>
  <bookViews>
    <workbookView xWindow="28680" yWindow="-120" windowWidth="20730" windowHeight="11040" xr2:uid="{29E53058-896D-4F96-8C6E-B1F18F54E7A2}"/>
  </bookViews>
  <sheets>
    <sheet name="sdrascd3-425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7" i="1" l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<sst xmlns="http://schemas.openxmlformats.org/spreadsheetml/2006/main" count="4796" uniqueCount="953">
  <si>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</si>
  <si>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</si>
  <si>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</si>
  <si>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</si>
  <si>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</si>
  <si>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</si>
  <si>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</si>
  <si>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</si>
  <si>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</si>
  <si>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</si>
  <si>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</si>
  <si>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</si>
  <si>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</si>
  <si>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</si>
  <si>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</si>
  <si>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</si>
  <si>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</si>
  <si>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</si>
  <si>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</si>
  <si>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</si>
  <si>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</si>
  <si>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</si>
  <si>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</si>
  <si>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</si>
  <si>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</si>
  <si>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</si>
  <si>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</si>
  <si>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</si>
  <si>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</si>
  <si>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</si>
  <si>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</si>
  <si>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</si>
  <si>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</si>
  <si>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</si>
  <si>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</si>
  <si>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</si>
  <si>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</si>
  <si>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</si>
  <si>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</si>
  <si>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</si>
  <si>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</si>
  <si>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</si>
  <si>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</si>
  <si>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</si>
  <si>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</si>
  <si>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</si>
  <si>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</si>
  <si>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</si>
  <si>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</si>
  <si>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</si>
  <si>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</si>
  <si>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</si>
  <si>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</si>
  <si>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</si>
  <si>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</si>
  <si>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</si>
  <si>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</si>
  <si>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</si>
  <si>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</si>
  <si>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</si>
  <si>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</si>
  <si>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</si>
  <si>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</si>
  <si>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</si>
  <si>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</si>
  <si>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</si>
  <si>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</si>
  <si>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</si>
  <si>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</si>
  <si>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</si>
  <si>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</si>
  <si>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</si>
  <si>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J19267</t>
  </si>
  <si>
    <t>TRI MOVE</t>
  </si>
  <si>
    <t>WAY</t>
  </si>
  <si>
    <t>JOHAN</t>
  </si>
  <si>
    <t>JOHANNESBURG</t>
  </si>
  <si>
    <t>DRIVE CONTROL</t>
  </si>
  <si>
    <t>GEORG</t>
  </si>
  <si>
    <t>GEORGE</t>
  </si>
  <si>
    <t>SKYNET GEORGE</t>
  </si>
  <si>
    <t>ON1</t>
  </si>
  <si>
    <t>N A</t>
  </si>
  <si>
    <t>byron</t>
  </si>
  <si>
    <t>yes</t>
  </si>
  <si>
    <t>DOC / SAT / FUE</t>
  </si>
  <si>
    <t>PARCEL</t>
  </si>
  <si>
    <t>KEMPT</t>
  </si>
  <si>
    <t>KEMPTON PARK</t>
  </si>
  <si>
    <t>TECTRA AUTOMATION</t>
  </si>
  <si>
    <t>CAPET</t>
  </si>
  <si>
    <t>CAPE TOWN</t>
  </si>
  <si>
    <t>Novus Packaging (Pty</t>
  </si>
  <si>
    <t>SDX</t>
  </si>
  <si>
    <t>STEVEN PRINCE</t>
  </si>
  <si>
    <t>Warren</t>
  </si>
  <si>
    <t>ano</t>
  </si>
  <si>
    <t>no</t>
  </si>
  <si>
    <t>DSD / FUE / doc</t>
  </si>
  <si>
    <t>PINET</t>
  </si>
  <si>
    <t>PINETOWN</t>
  </si>
  <si>
    <t>PORT3</t>
  </si>
  <si>
    <t>PORT ELIZABETH</t>
  </si>
  <si>
    <t>JASON</t>
  </si>
  <si>
    <t>JUSTIN</t>
  </si>
  <si>
    <t>carist</t>
  </si>
  <si>
    <t>COLPACK</t>
  </si>
  <si>
    <t>ON2</t>
  </si>
  <si>
    <t>RECOVERY ENRICO</t>
  </si>
  <si>
    <t>VINCENT</t>
  </si>
  <si>
    <t>DONNA</t>
  </si>
  <si>
    <t>FUE / doc</t>
  </si>
  <si>
    <t>VANDE</t>
  </si>
  <si>
    <t>VANDERBIJLPARK</t>
  </si>
  <si>
    <t>MACHINE TOOL PROMOTIONS</t>
  </si>
  <si>
    <t>amos</t>
  </si>
  <si>
    <t>FUE / DOC</t>
  </si>
  <si>
    <t>POD received from cell 0639164839 M</t>
  </si>
  <si>
    <t>PRETO</t>
  </si>
  <si>
    <t>PRETORIA</t>
  </si>
  <si>
    <t>ISOLITE CORNIE MOUDLING</t>
  </si>
  <si>
    <t>ERIKA</t>
  </si>
  <si>
    <t>Benny</t>
  </si>
  <si>
    <t>POD received from cell 0723623160 M</t>
  </si>
  <si>
    <t>COIRTEX WAREHOUSE</t>
  </si>
  <si>
    <t>PAARL</t>
  </si>
  <si>
    <t>PAARL AGRIMARK</t>
  </si>
  <si>
    <t>DBC</t>
  </si>
  <si>
    <t>.</t>
  </si>
  <si>
    <t>RABIA</t>
  </si>
  <si>
    <t>Nigel</t>
  </si>
  <si>
    <t>CSH / FUE / doc</t>
  </si>
  <si>
    <t>POD received from cell 0730260841 M</t>
  </si>
  <si>
    <t>SANDT</t>
  </si>
  <si>
    <t>SANDTON</t>
  </si>
  <si>
    <t>BCG STAINLESS STEEL</t>
  </si>
  <si>
    <t>TEMBA</t>
  </si>
  <si>
    <t>Nkanyiso</t>
  </si>
  <si>
    <t>POD received from cell 0849783185 M</t>
  </si>
  <si>
    <t>JARRIS PRODUCTS CORP RSA</t>
  </si>
  <si>
    <t>JAKKIE</t>
  </si>
  <si>
    <t>Martin</t>
  </si>
  <si>
    <t>POD received from cell 0611615708 M</t>
  </si>
  <si>
    <t>TECTRA AUTOMATION PTY LTD</t>
  </si>
  <si>
    <t>NATASHA GARRISTON</t>
  </si>
  <si>
    <t>natasha</t>
  </si>
  <si>
    <t>POD received from cell 0684745132 M</t>
  </si>
  <si>
    <t>LIGHTING REVOLUTION</t>
  </si>
  <si>
    <t>NA</t>
  </si>
  <si>
    <t>CATHERINE FUTTER</t>
  </si>
  <si>
    <t>RENARDO NURAA</t>
  </si>
  <si>
    <t>gj futter</t>
  </si>
  <si>
    <t>POD received from cell 0760754539 M</t>
  </si>
  <si>
    <t>PLEASE PUSH OPTION 2 UNIT 76</t>
  </si>
  <si>
    <t>MICHAEL PINTO</t>
  </si>
  <si>
    <t>m pinto</t>
  </si>
  <si>
    <t>POD received from cell 0763629217 M</t>
  </si>
  <si>
    <t>HERMA</t>
  </si>
  <si>
    <t>HERMANUS</t>
  </si>
  <si>
    <t>HEMEL AND AARDE</t>
  </si>
  <si>
    <t>JOHAN SMIT</t>
  </si>
  <si>
    <t>tanya</t>
  </si>
  <si>
    <t>POD received from cell 0737748150 M</t>
  </si>
  <si>
    <t>STEPH SYMNAANDS</t>
  </si>
  <si>
    <t>Tania</t>
  </si>
  <si>
    <t>POD received from cell 0616034769 M</t>
  </si>
  <si>
    <t>MRS PM PRETORIUS</t>
  </si>
  <si>
    <t>patricia</t>
  </si>
  <si>
    <t>POD received from cell 0641377685 M</t>
  </si>
  <si>
    <t>KENROCK COUNTRY ESATE</t>
  </si>
  <si>
    <t>PHILLIP</t>
  </si>
  <si>
    <t>Phillip</t>
  </si>
  <si>
    <t>POD received from cell 0736814363 M</t>
  </si>
  <si>
    <t>TECTRA AUTOMATION PE</t>
  </si>
  <si>
    <t>TECTRA AUTOMATIAN</t>
  </si>
  <si>
    <t>WARREN</t>
  </si>
  <si>
    <t>CARRISTON</t>
  </si>
  <si>
    <t>jamo</t>
  </si>
  <si>
    <t>DURBA</t>
  </si>
  <si>
    <t>DURBAN</t>
  </si>
  <si>
    <t>INKOSI ALBERT LUTHULI HOSP</t>
  </si>
  <si>
    <t>LUGGAGE WAREHOUSE</t>
  </si>
  <si>
    <t>LUSANDA SNYMAN</t>
  </si>
  <si>
    <t>IREEN</t>
  </si>
  <si>
    <t>reele</t>
  </si>
  <si>
    <t>ANG INDUSTRIAL SOLUTIONS</t>
  </si>
  <si>
    <t>LEA</t>
  </si>
  <si>
    <t>Michelle</t>
  </si>
  <si>
    <t>POD received from cell 0837323487 M</t>
  </si>
  <si>
    <t>BRIT1</t>
  </si>
  <si>
    <t>BRITS</t>
  </si>
  <si>
    <t>CORRIE COETZEE</t>
  </si>
  <si>
    <t>Lisa Coetzee</t>
  </si>
  <si>
    <t>POD received from cell 0766750423 M</t>
  </si>
  <si>
    <t>BLOE1</t>
  </si>
  <si>
    <t>BLOEMFONTEIN</t>
  </si>
  <si>
    <t>THOKHWI THABANA</t>
  </si>
  <si>
    <t>?</t>
  </si>
  <si>
    <t>EFFINGHAM HEIGHTS</t>
  </si>
  <si>
    <t>CHEVIN NAIDOO</t>
  </si>
  <si>
    <t>JUDITH IKUNYUA</t>
  </si>
  <si>
    <t>FAUR1</t>
  </si>
  <si>
    <t>FAURE</t>
  </si>
  <si>
    <t>VUYOKAZI NTETHE</t>
  </si>
  <si>
    <t>Vuyokazi</t>
  </si>
  <si>
    <t>HND / FUE / doc</t>
  </si>
  <si>
    <t>POD received from cell 0621330967 M</t>
  </si>
  <si>
    <t>RANDB</t>
  </si>
  <si>
    <t>RANDBURG</t>
  </si>
  <si>
    <t>NICKY JAY</t>
  </si>
  <si>
    <t>SANDRA GONDAVES</t>
  </si>
  <si>
    <t>victor</t>
  </si>
  <si>
    <t>BMG JHB</t>
  </si>
  <si>
    <t>MO VON ZYL  DOMINIQUE</t>
  </si>
  <si>
    <t>Victor</t>
  </si>
  <si>
    <t>POD received from cell 0745495693 M</t>
  </si>
  <si>
    <t>MITAS CORPORATION</t>
  </si>
  <si>
    <t>GIFT</t>
  </si>
  <si>
    <t>ruan</t>
  </si>
  <si>
    <t>POD received from cell 0823886736 M</t>
  </si>
  <si>
    <t>GERMI</t>
  </si>
  <si>
    <t>GERMISTON</t>
  </si>
  <si>
    <t>PREMIER FMCG MR SWEETS</t>
  </si>
  <si>
    <t>KOOS COETZEE</t>
  </si>
  <si>
    <t>koos</t>
  </si>
  <si>
    <t>POD received from cell 0733773816 M</t>
  </si>
  <si>
    <t>BOKSB</t>
  </si>
  <si>
    <t>BOKSBURG</t>
  </si>
  <si>
    <t>DANONE SOUTH AFRICA</t>
  </si>
  <si>
    <t>A STEYN</t>
  </si>
  <si>
    <t>POD received from cell 0839573774 M</t>
  </si>
  <si>
    <t>STRAN</t>
  </si>
  <si>
    <t>STRAND</t>
  </si>
  <si>
    <t>COSSAMER STRUCTURES</t>
  </si>
  <si>
    <t>FRIEDA</t>
  </si>
  <si>
    <t>nico</t>
  </si>
  <si>
    <t>POD received from cell 0725795427 M</t>
  </si>
  <si>
    <t>ROODE</t>
  </si>
  <si>
    <t>ROODEPOORT</t>
  </si>
  <si>
    <t>ERNEST LOWE</t>
  </si>
  <si>
    <t>LOGA</t>
  </si>
  <si>
    <t>J Lessin</t>
  </si>
  <si>
    <t>POD received from cell 0783350261 M</t>
  </si>
  <si>
    <t>ISOLITE CORNICE MOUDLING</t>
  </si>
  <si>
    <t>ENDECO OMEGA SINTO</t>
  </si>
  <si>
    <t>POLYOAK PACKAGING</t>
  </si>
  <si>
    <t>CRAIG JANIS</t>
  </si>
  <si>
    <t>evette</t>
  </si>
  <si>
    <t>FISMIDTH SA PTY</t>
  </si>
  <si>
    <t>PAM</t>
  </si>
  <si>
    <t>Pamela</t>
  </si>
  <si>
    <t>AECI MINNING LTO</t>
  </si>
  <si>
    <t xml:space="preserve">Francina                      </t>
  </si>
  <si>
    <t xml:space="preserve">POD received from cell 0766412100 M     </t>
  </si>
  <si>
    <t>BULK MATERIAL EQUIPMENT GROUP</t>
  </si>
  <si>
    <t>DANELLE</t>
  </si>
  <si>
    <t xml:space="preserve">Sarah                         </t>
  </si>
  <si>
    <t>SECUN</t>
  </si>
  <si>
    <t>SECUNDA</t>
  </si>
  <si>
    <t>DENTSU</t>
  </si>
  <si>
    <t>LAVA FIRES</t>
  </si>
  <si>
    <t>DIRK VISSER</t>
  </si>
  <si>
    <t>jaremi</t>
  </si>
  <si>
    <t>POD received from cell 0671217407 M</t>
  </si>
  <si>
    <t>ECTRA AUTOMATION</t>
  </si>
  <si>
    <t>SHAYLIN</t>
  </si>
  <si>
    <t>SAPPHIRE STREET</t>
  </si>
  <si>
    <t>Carriston</t>
  </si>
  <si>
    <t>Rudie</t>
  </si>
  <si>
    <t>LOUISA NIEHAUS RUDIE</t>
  </si>
  <si>
    <t>KPOPTIM</t>
  </si>
  <si>
    <t>ALBE2</t>
  </si>
  <si>
    <t>ALBERTON</t>
  </si>
  <si>
    <t>BRAAI   BBQ INT</t>
  </si>
  <si>
    <t>JESSICA BRANDT</t>
  </si>
  <si>
    <t>PEDRO</t>
  </si>
  <si>
    <t>July -Anre</t>
  </si>
  <si>
    <t>POD received from cell 0782023821 M</t>
  </si>
  <si>
    <t>ELIZMA DE GOEDE</t>
  </si>
  <si>
    <t>VERUL</t>
  </si>
  <si>
    <t>VERULAM</t>
  </si>
  <si>
    <t>JENICE NARAISAMY</t>
  </si>
  <si>
    <t>EWEN MCALPINE</t>
  </si>
  <si>
    <t>vincent</t>
  </si>
  <si>
    <t>POD received from cell 0717429658 M</t>
  </si>
  <si>
    <t>PCMP PTY</t>
  </si>
  <si>
    <t>Ronald</t>
  </si>
  <si>
    <t>POD received from cell 0649858858 M</t>
  </si>
  <si>
    <t>SPRI3</t>
  </si>
  <si>
    <t>SPRINGS</t>
  </si>
  <si>
    <t>AH INDUSTRIAL ELECTRONICS</t>
  </si>
  <si>
    <t>GRINDING MEDIA S.A</t>
  </si>
  <si>
    <t>CULLINARY DIV OF TIGER CONSUME</t>
  </si>
  <si>
    <t>JACO</t>
  </si>
  <si>
    <t>LESEGO</t>
  </si>
  <si>
    <t>ROADWAY TRADE   INVEST</t>
  </si>
  <si>
    <t>JOZUA</t>
  </si>
  <si>
    <t>isaac</t>
  </si>
  <si>
    <t>POD received from cell 0648984486 M</t>
  </si>
  <si>
    <t>LIESEL CHUM</t>
  </si>
  <si>
    <t>tabeth</t>
  </si>
  <si>
    <t>POD received from cell 0813088358 M</t>
  </si>
  <si>
    <t>DELENE DAVE</t>
  </si>
  <si>
    <t>delene</t>
  </si>
  <si>
    <t>POD received from cell 0606209324 M</t>
  </si>
  <si>
    <t>TECTRA AUTOMATION (RF)</t>
  </si>
  <si>
    <t>BEARING MAN GROUP</t>
  </si>
  <si>
    <t>silence</t>
  </si>
  <si>
    <t>RES Q PEOPS</t>
  </si>
  <si>
    <t>KUGGAGE WAREHOUSE</t>
  </si>
  <si>
    <t>LUSANDA</t>
  </si>
  <si>
    <t>REECE</t>
  </si>
  <si>
    <t>LOUZANNE BONTHUYS</t>
  </si>
  <si>
    <t>ELIZNA</t>
  </si>
  <si>
    <t>POD received from cell 0738269435 M</t>
  </si>
  <si>
    <t>GLYNIS SMIT</t>
  </si>
  <si>
    <t>A Smit</t>
  </si>
  <si>
    <t>LOUIS</t>
  </si>
  <si>
    <t>LOUIS TRICHARDT</t>
  </si>
  <si>
    <t>MARIUS BRONN PHARMACY</t>
  </si>
  <si>
    <t>SALOME SAUER</t>
  </si>
  <si>
    <t>robert</t>
  </si>
  <si>
    <t>POD received from cell 0711677096 M</t>
  </si>
  <si>
    <t>PHILLIP ABRAHAMSON</t>
  </si>
  <si>
    <t>danielle</t>
  </si>
  <si>
    <t>TECHA AUTOMATION RF PTYLTD</t>
  </si>
  <si>
    <t>BUSCH VACUUM SOUTH AFRICA</t>
  </si>
  <si>
    <t>REEZA</t>
  </si>
  <si>
    <t>Lindiwe</t>
  </si>
  <si>
    <t>TECHA AUTOMATION PTYLTD</t>
  </si>
  <si>
    <t>VERWO</t>
  </si>
  <si>
    <t>CENTURION</t>
  </si>
  <si>
    <t>BRITTECH PTY</t>
  </si>
  <si>
    <t>CORNEL</t>
  </si>
  <si>
    <t>Anelda</t>
  </si>
  <si>
    <t>POD received from cell 0769790129 M</t>
  </si>
  <si>
    <t>TECTRA AUTOMATION  RF PTYLTD</t>
  </si>
  <si>
    <t>UV   IR ENGINEERING</t>
  </si>
  <si>
    <t>COURTNEY</t>
  </si>
  <si>
    <t>Michael</t>
  </si>
  <si>
    <t>POD received from cell 0791772223 M</t>
  </si>
  <si>
    <t>DECOFURN WEB</t>
  </si>
  <si>
    <t>HANOV</t>
  </si>
  <si>
    <t>HANOVER</t>
  </si>
  <si>
    <t>INDRAF HANOVER</t>
  </si>
  <si>
    <t>FUR318481</t>
  </si>
  <si>
    <t>LINMARIE V SCHALKWYK</t>
  </si>
  <si>
    <t>HENDRIK</t>
  </si>
  <si>
    <t>COLLEEN THORNHILL</t>
  </si>
  <si>
    <t>JF Nel</t>
  </si>
  <si>
    <t>POD received from cell 0695391951 M</t>
  </si>
  <si>
    <t>COIRTEX</t>
  </si>
  <si>
    <t>SWELL</t>
  </si>
  <si>
    <t>SWELLENDAM</t>
  </si>
  <si>
    <t>LA SOSTA RESTAURANT</t>
  </si>
  <si>
    <t>NINA MATHEW</t>
  </si>
  <si>
    <t>S BRANDA</t>
  </si>
  <si>
    <t>YOLANDA RIBEIRO</t>
  </si>
  <si>
    <t>THEO</t>
  </si>
  <si>
    <t>HND / CSH / FUE / doc</t>
  </si>
  <si>
    <t>POD received from cell 0765666036 M</t>
  </si>
  <si>
    <t>HERMANUS FACTORY SHOP</t>
  </si>
  <si>
    <t>FRANSIEN</t>
  </si>
  <si>
    <t>Charmaine</t>
  </si>
  <si>
    <t>STEL2</t>
  </si>
  <si>
    <t>STELLENBOSCH</t>
  </si>
  <si>
    <t>STELLENBOSCH KAAPAGRI</t>
  </si>
  <si>
    <t>02SAR00273219-JOB11793 02SAR00273622-JOB11792</t>
  </si>
  <si>
    <t>karla</t>
  </si>
  <si>
    <t>POD received from cell 0681920801 M</t>
  </si>
  <si>
    <t>DREIERS-276</t>
  </si>
  <si>
    <t>REF:PO30878 30284 JOB:11795</t>
  </si>
  <si>
    <t>SIGNED</t>
  </si>
  <si>
    <t>AUTOMATION (RF) (PTY) LTD</t>
  </si>
  <si>
    <t>MATSAM SUPPLIES</t>
  </si>
  <si>
    <t>gomet</t>
  </si>
  <si>
    <t>POD received from cell 0604681592 M</t>
  </si>
  <si>
    <t>MALME</t>
  </si>
  <si>
    <t>MALMESBURY</t>
  </si>
  <si>
    <t>MALMESBURY AGRIMARK</t>
  </si>
  <si>
    <t>RD:25SAR00243707 JOB:11794</t>
  </si>
  <si>
    <t>juan</t>
  </si>
  <si>
    <t>CSH / DOC / FUE</t>
  </si>
  <si>
    <t>POD received from cell 0747997508 M</t>
  </si>
  <si>
    <t>SIKHO SIYOTULA-SIEGEMUND</t>
  </si>
  <si>
    <t>sikho</t>
  </si>
  <si>
    <t>POD received from cell 0616751081 M</t>
  </si>
  <si>
    <t>FALLON FOURIE</t>
  </si>
  <si>
    <t>fallon</t>
  </si>
  <si>
    <t>MIDRA</t>
  </si>
  <si>
    <t>MIDRAND</t>
  </si>
  <si>
    <t>LIVHUWANI MUGWAGWA</t>
  </si>
  <si>
    <t>Nkosinathi</t>
  </si>
  <si>
    <t>POD received from cell 0607554553 M</t>
  </si>
  <si>
    <t>WILDLIFE ASSIGNMENTS INT PTY L</t>
  </si>
  <si>
    <t>MARTIN KROG</t>
  </si>
  <si>
    <t>shakes</t>
  </si>
  <si>
    <t>POD received from cell 0720300789 M</t>
  </si>
  <si>
    <t>ADCOCO SA</t>
  </si>
  <si>
    <t>Jason</t>
  </si>
  <si>
    <t>POD received from cell 0766412100 M</t>
  </si>
  <si>
    <t>MAYSON SM</t>
  </si>
  <si>
    <t>SEMONE COETZEE</t>
  </si>
  <si>
    <t>J COETZEE</t>
  </si>
  <si>
    <t>DESIRAY VICTOR</t>
  </si>
  <si>
    <t xml:space="preserve">D Victor                      </t>
  </si>
  <si>
    <t xml:space="preserve">POD received from cell 0723940461 M     </t>
  </si>
  <si>
    <t>BETHL</t>
  </si>
  <si>
    <t>BETHLEHEM</t>
  </si>
  <si>
    <t>NAEEMA KACHWEE</t>
  </si>
  <si>
    <t>naeema</t>
  </si>
  <si>
    <t>POD received from cell 0721927500 M</t>
  </si>
  <si>
    <t>BUSCH VACCUM SOLUTIONS</t>
  </si>
  <si>
    <t>james</t>
  </si>
  <si>
    <t>TECTRA AUTOMATION RF PTYLTD</t>
  </si>
  <si>
    <t>BEARINGS ON CC</t>
  </si>
  <si>
    <t>FAZEL</t>
  </si>
  <si>
    <t>fazel</t>
  </si>
  <si>
    <t>DOC</t>
  </si>
  <si>
    <t>POD received from cell 0825419099 M</t>
  </si>
  <si>
    <t>PATERSON HUGHES ENGINEERING SA</t>
  </si>
  <si>
    <t>NIKITA</t>
  </si>
  <si>
    <t>Samuell</t>
  </si>
  <si>
    <t>POD received from cell 0839758806 M</t>
  </si>
  <si>
    <t>CME</t>
  </si>
  <si>
    <t>ANDANI</t>
  </si>
  <si>
    <t>pontsho</t>
  </si>
  <si>
    <t>POD received from cell 0720482210 M</t>
  </si>
  <si>
    <t>LARA BARNARD</t>
  </si>
  <si>
    <t>bredley</t>
  </si>
  <si>
    <t>doc</t>
  </si>
  <si>
    <t>BOLLORE</t>
  </si>
  <si>
    <t>EMILY SERESTELY</t>
  </si>
  <si>
    <t>Emily</t>
  </si>
  <si>
    <t>doc / FUE</t>
  </si>
  <si>
    <t>POD received from cell 0810613300 M</t>
  </si>
  <si>
    <t>ALUSON HELFRICH</t>
  </si>
  <si>
    <t>alyson</t>
  </si>
  <si>
    <t>G Smit</t>
  </si>
  <si>
    <t>SEDGE</t>
  </si>
  <si>
    <t>SEDGEFIELD</t>
  </si>
  <si>
    <t>MANDY ALTING</t>
  </si>
  <si>
    <t>mandy</t>
  </si>
  <si>
    <t>SEW EURODRIVE</t>
  </si>
  <si>
    <t>JACQUE</t>
  </si>
  <si>
    <t>siswe</t>
  </si>
  <si>
    <t>IPAK CHEM</t>
  </si>
  <si>
    <t>HANNES WILLIEM</t>
  </si>
  <si>
    <t>segametsi</t>
  </si>
  <si>
    <t>DOC / FUE</t>
  </si>
  <si>
    <t>POD received from cell 0727812225 M</t>
  </si>
  <si>
    <t>KAKAM</t>
  </si>
  <si>
    <t>KAKAMAS</t>
  </si>
  <si>
    <t>KAKAMAS AGRIMARK</t>
  </si>
  <si>
    <t>BRAILON</t>
  </si>
  <si>
    <t>CSH / doc</t>
  </si>
  <si>
    <t>POD received from cell 0665183432 M</t>
  </si>
  <si>
    <t>CSH / doc / FUE</t>
  </si>
  <si>
    <t>PIKET</t>
  </si>
  <si>
    <t>PIKETBERG</t>
  </si>
  <si>
    <t>PIKETBERG AGRIMARK</t>
  </si>
  <si>
    <t>HILDEGARD</t>
  </si>
  <si>
    <t>MARGA</t>
  </si>
  <si>
    <t>MARGATE</t>
  </si>
  <si>
    <t>ZININZI NDZELU</t>
  </si>
  <si>
    <t>SISELA</t>
  </si>
  <si>
    <t>VICTO</t>
  </si>
  <si>
    <t>VICTORIA WEST</t>
  </si>
  <si>
    <t>UBUNTU MUNICIPALITY</t>
  </si>
  <si>
    <t>NONCEBA MKONTWANA</t>
  </si>
  <si>
    <t>Nonceba</t>
  </si>
  <si>
    <t>DANIEL BEKKER</t>
  </si>
  <si>
    <t>M van Niekerk</t>
  </si>
  <si>
    <t>POD received from cell 0744806625 M</t>
  </si>
  <si>
    <t>RAYMOND CLOETE</t>
  </si>
  <si>
    <t>CHETT</t>
  </si>
  <si>
    <t>HOEDS</t>
  </si>
  <si>
    <t>HOEDSPRUIT</t>
  </si>
  <si>
    <t>MARINDA VAN WYK</t>
  </si>
  <si>
    <t>peter</t>
  </si>
  <si>
    <t>POD received from cell 0829324774 M</t>
  </si>
  <si>
    <t>AUGRABIES AGRIMARK</t>
  </si>
  <si>
    <t>ENDECO OMEGA SINTO PTY LTD</t>
  </si>
  <si>
    <t>MARCUS</t>
  </si>
  <si>
    <t xml:space="preserve">hendric                       </t>
  </si>
  <si>
    <t xml:space="preserve">POD received from cell 0733773816 M     </t>
  </si>
  <si>
    <t>CSM ENGINEERING</t>
  </si>
  <si>
    <t>WICKUS</t>
  </si>
  <si>
    <t>Peter</t>
  </si>
  <si>
    <t>POD received from cell 0725230163 M</t>
  </si>
  <si>
    <t>DONALD FUCHS MACHINERY CC COD</t>
  </si>
  <si>
    <t>JENNY</t>
  </si>
  <si>
    <t>S Mutch</t>
  </si>
  <si>
    <t>PG BISON</t>
  </si>
  <si>
    <t>ETTIENE</t>
  </si>
  <si>
    <t>Mbali</t>
  </si>
  <si>
    <t>MOSES VARATHAIAH</t>
  </si>
  <si>
    <t>M VARATHAJAH</t>
  </si>
  <si>
    <t>POD received from cell 0727147252 M</t>
  </si>
  <si>
    <t>SOME2</t>
  </si>
  <si>
    <t>SOMERSET WEST</t>
  </si>
  <si>
    <t>CELLINI SOMERSET WEST</t>
  </si>
  <si>
    <t>Cherilee</t>
  </si>
  <si>
    <t>SAM</t>
  </si>
  <si>
    <t>lindiwe</t>
  </si>
  <si>
    <t>PIET1</t>
  </si>
  <si>
    <t>PIETERMARITZBURG</t>
  </si>
  <si>
    <t xml:space="preserve">ORTHMAN AFRICA </t>
  </si>
  <si>
    <t xml:space="preserve">JAYD FREIGHT </t>
  </si>
  <si>
    <t xml:space="preserve">JASPER </t>
  </si>
  <si>
    <t xml:space="preserve">STEPHAN ERASMUS </t>
  </si>
  <si>
    <t>jasper</t>
  </si>
  <si>
    <t>POD received from cell 0827927081 M</t>
  </si>
  <si>
    <t>PALLET</t>
  </si>
  <si>
    <t>PVT RES</t>
  </si>
  <si>
    <t>Reele</t>
  </si>
  <si>
    <t>JEREMY CLAYTON</t>
  </si>
  <si>
    <t>Betty</t>
  </si>
  <si>
    <t>SKIN TECHNOLOGY</t>
  </si>
  <si>
    <t>CORINE VAN HEERDEN</t>
  </si>
  <si>
    <t>SASKIA</t>
  </si>
  <si>
    <t>BOTHA</t>
  </si>
  <si>
    <t>BOTHAVILLE</t>
  </si>
  <si>
    <t>FARUK JOGIYAT</t>
  </si>
  <si>
    <t>Bikie</t>
  </si>
  <si>
    <t>POD received from cell 0664631318 M</t>
  </si>
  <si>
    <t>KAREN ALBELDAS</t>
  </si>
  <si>
    <t>karen</t>
  </si>
  <si>
    <t>WATERKLOOF PRIMARY SCHOOL</t>
  </si>
  <si>
    <t>FONIA BELLOMO</t>
  </si>
  <si>
    <t>N Bellomo</t>
  </si>
  <si>
    <t>POD received from cell 0647909777 M</t>
  </si>
  <si>
    <t>RUSTE</t>
  </si>
  <si>
    <t>RUSTENBURG</t>
  </si>
  <si>
    <t>ZELDA NIEMANN</t>
  </si>
  <si>
    <t>joyden</t>
  </si>
  <si>
    <t>POD received from cell 0729194064 M</t>
  </si>
  <si>
    <t>SHERENE HURRELL</t>
  </si>
  <si>
    <t>finn</t>
  </si>
  <si>
    <t>POD received from cell 0790738153 M</t>
  </si>
  <si>
    <t>SAMUEL BURGER</t>
  </si>
  <si>
    <t>Samuel</t>
  </si>
  <si>
    <t>POD received from cell 0624916044 M</t>
  </si>
  <si>
    <t>ROSE MARAIS</t>
  </si>
  <si>
    <t>rose</t>
  </si>
  <si>
    <t>POD received from cell 0735259618 M</t>
  </si>
  <si>
    <t>NASHIL CHOTOKI</t>
  </si>
  <si>
    <t>Nashil</t>
  </si>
  <si>
    <t>POD received from cell 0810248653 M</t>
  </si>
  <si>
    <t>CLEARWATER ESTATE</t>
  </si>
  <si>
    <t>LOSHI MOODLEY</t>
  </si>
  <si>
    <t>Indras</t>
  </si>
  <si>
    <t>THE TAJ</t>
  </si>
  <si>
    <t>PRAVESH BHOORA</t>
  </si>
  <si>
    <t xml:space="preserve">ayanda                        </t>
  </si>
  <si>
    <t xml:space="preserve">POD received from cell 0840830186 M     </t>
  </si>
  <si>
    <t>AFRICA OFFICE</t>
  </si>
  <si>
    <t>IPINI</t>
  </si>
  <si>
    <t>BOITUMELO</t>
  </si>
  <si>
    <t>lorna</t>
  </si>
  <si>
    <t>PANX NEWMAZ</t>
  </si>
  <si>
    <t>LAGGNDIE WAKEHOIUSE</t>
  </si>
  <si>
    <t>suleiman</t>
  </si>
  <si>
    <t>BREWTECH ENGINEERING</t>
  </si>
  <si>
    <t>KHATHUTSHELO</t>
  </si>
  <si>
    <t>tshego</t>
  </si>
  <si>
    <t xml:space="preserve">PRODMOD </t>
  </si>
  <si>
    <t xml:space="preserve">TECTRA AUTOMATION </t>
  </si>
  <si>
    <t>WARREN BOTHA</t>
  </si>
  <si>
    <t xml:space="preserve">ARNO KEEN </t>
  </si>
  <si>
    <t>Nkululeko</t>
  </si>
  <si>
    <t xml:space="preserve">Box </t>
  </si>
  <si>
    <t>CELLINI-SOMERSET WEST</t>
  </si>
  <si>
    <t>DARLI</t>
  </si>
  <si>
    <t>DARLING</t>
  </si>
  <si>
    <t>HELEN SCHRUNICK</t>
  </si>
  <si>
    <t>HELEN</t>
  </si>
  <si>
    <t>LUNGELO HLATSHWAYO</t>
  </si>
  <si>
    <t>lungelo</t>
  </si>
  <si>
    <t>POD received from cell 0797027751 M</t>
  </si>
  <si>
    <t>PRESS DOOR BELL</t>
  </si>
  <si>
    <t>CELESTE MURPHY</t>
  </si>
  <si>
    <t>Kiahn</t>
  </si>
  <si>
    <t>THE VIEW ESTATE</t>
  </si>
  <si>
    <t>NEO MATLOU</t>
  </si>
  <si>
    <t>Redirect waybill on waybill number R0099</t>
  </si>
  <si>
    <t>WHALE ROCK HEIGHTS</t>
  </si>
  <si>
    <t>CAROLE WILLIAMS</t>
  </si>
  <si>
    <t>C Williams</t>
  </si>
  <si>
    <t>RUBY MYEZA</t>
  </si>
  <si>
    <t>Ruby</t>
  </si>
  <si>
    <t>POD received from cell 0725460326 M</t>
  </si>
  <si>
    <t>DAWID SADIE</t>
  </si>
  <si>
    <t>david</t>
  </si>
  <si>
    <t>PREMIER FMCG PTY</t>
  </si>
  <si>
    <t>ZIPCORD INDUSTRIES PTY</t>
  </si>
  <si>
    <t>MICHELLE</t>
  </si>
  <si>
    <t>CITRU</t>
  </si>
  <si>
    <t>CITRUSDAL</t>
  </si>
  <si>
    <t>CITRUSDAL AGRIMARK</t>
  </si>
  <si>
    <t>JULIAN</t>
  </si>
  <si>
    <t>henie</t>
  </si>
  <si>
    <t>Actum Industrial</t>
  </si>
  <si>
    <t>Tectra Automation</t>
  </si>
  <si>
    <t>Cherly</t>
  </si>
  <si>
    <t>Beverley Olivier</t>
  </si>
  <si>
    <t>nkululeko</t>
  </si>
  <si>
    <t>Small Box</t>
  </si>
  <si>
    <t>CHERLY</t>
  </si>
  <si>
    <t>SMALL BOX</t>
  </si>
  <si>
    <t>NOMUSA XABA</t>
  </si>
  <si>
    <t>nomusa</t>
  </si>
  <si>
    <t>POD received from cell 0616610403 M</t>
  </si>
  <si>
    <t>CHARMAINE BRONKHORST</t>
  </si>
  <si>
    <t>C Bronkhorst</t>
  </si>
  <si>
    <t>ROBER</t>
  </si>
  <si>
    <t>ROBERTSON</t>
  </si>
  <si>
    <t>DE WILGEN FARM</t>
  </si>
  <si>
    <t>DISE DE WET</t>
  </si>
  <si>
    <t>Frans</t>
  </si>
  <si>
    <t>POD received from cell 0781654157 M</t>
  </si>
  <si>
    <t>DEIDRE M VENTER</t>
  </si>
  <si>
    <t>Deidre</t>
  </si>
  <si>
    <t>POD received from cell 0693852220 M</t>
  </si>
  <si>
    <t>REN MEDIA C TA RENFLEX</t>
  </si>
  <si>
    <t xml:space="preserve">sharon                        </t>
  </si>
  <si>
    <t xml:space="preserve">POD received from cell 0825419099 M     </t>
  </si>
  <si>
    <t>SNYMAN TOOL   DIE CC</t>
  </si>
  <si>
    <t>KOOS</t>
  </si>
  <si>
    <t>Shawn  wyk</t>
  </si>
  <si>
    <t>POD received from cell 0646961472 M</t>
  </si>
  <si>
    <t>ELEMENT SIX</t>
  </si>
  <si>
    <t>RUDY</t>
  </si>
  <si>
    <t>paulos</t>
  </si>
  <si>
    <t>POD received from cell 0649846516 M</t>
  </si>
  <si>
    <t>EMEMEN INDUSTRIAL</t>
  </si>
  <si>
    <t>Carin</t>
  </si>
  <si>
    <t>POD received from cell 0729919507 M</t>
  </si>
  <si>
    <t>SAR ELECTIONICS SA</t>
  </si>
  <si>
    <t>MARCO</t>
  </si>
  <si>
    <t>Kevin</t>
  </si>
  <si>
    <t>PIMMS GROUP PTY</t>
  </si>
  <si>
    <t>JAN</t>
  </si>
  <si>
    <t>SUZANNE JANSEN VAN RENSBURG</t>
  </si>
  <si>
    <t>suzanne</t>
  </si>
  <si>
    <t>POD received from cell 0769347056 M</t>
  </si>
  <si>
    <t>CASEY VOLEK</t>
  </si>
  <si>
    <t>Casey</t>
  </si>
  <si>
    <t>POD received from cell 0638667139 M</t>
  </si>
  <si>
    <t>BRITANNIA BRYTONS OF SA</t>
  </si>
  <si>
    <t>USCKE KLUIN</t>
  </si>
  <si>
    <t>uscke</t>
  </si>
  <si>
    <t>JAMES BAKER</t>
  </si>
  <si>
    <t>James baker</t>
  </si>
  <si>
    <t>JENNIFER SOEKOE</t>
  </si>
  <si>
    <t>jennifer</t>
  </si>
  <si>
    <t>POD received from cell 0641131537 M</t>
  </si>
  <si>
    <t>HEID2</t>
  </si>
  <si>
    <t>HEIDELBERG (TVL)</t>
  </si>
  <si>
    <t>BAT SOUTH AFRICA PTY</t>
  </si>
  <si>
    <t>LONDIWE EUTYCHUS KHUMALO</t>
  </si>
  <si>
    <t>jacques</t>
  </si>
  <si>
    <t>POD received from cell 0815199139 M</t>
  </si>
  <si>
    <t>INDABA TRADING</t>
  </si>
  <si>
    <t>GARTH</t>
  </si>
  <si>
    <t>Donafan</t>
  </si>
  <si>
    <t>TECTRA CAPE TOWN</t>
  </si>
  <si>
    <t>lezalle</t>
  </si>
  <si>
    <t>ROBERT BOSCH</t>
  </si>
  <si>
    <t>KATLEGO RASEPHAI</t>
  </si>
  <si>
    <t>katlego</t>
  </si>
  <si>
    <t>ARDAGH GLASS PACKAGING SA</t>
  </si>
  <si>
    <t>PRETTY</t>
  </si>
  <si>
    <t>motlatsi</t>
  </si>
  <si>
    <t>CENTURION SYSTEMS PTY</t>
  </si>
  <si>
    <t>JAY</t>
  </si>
  <si>
    <t>fana</t>
  </si>
  <si>
    <t>ROBOTIC INNOVATIONS</t>
  </si>
  <si>
    <t>CHANTELLE</t>
  </si>
  <si>
    <t>Chantell</t>
  </si>
  <si>
    <t>POD received from cell 0736327910 M</t>
  </si>
  <si>
    <t>CAROL</t>
  </si>
  <si>
    <t>CAROLINA</t>
  </si>
  <si>
    <t>WARBURTON SAAGMEULE PTY</t>
  </si>
  <si>
    <t>HENNIE</t>
  </si>
  <si>
    <t>Hennie</t>
  </si>
  <si>
    <t>POD received from cell 0766595713 M</t>
  </si>
  <si>
    <t>MCC LABEL JHB SA</t>
  </si>
  <si>
    <t>BERTIE</t>
  </si>
  <si>
    <t>Thando</t>
  </si>
  <si>
    <t>POD received from cell 0837842729 M</t>
  </si>
  <si>
    <t>POD received from cell 0631352676 M</t>
  </si>
  <si>
    <t>ADA LIGHTING/</t>
  </si>
  <si>
    <t>VRYHE</t>
  </si>
  <si>
    <t>VRYHEID</t>
  </si>
  <si>
    <t xml:space="preserve">BONGANI </t>
  </si>
  <si>
    <t xml:space="preserve">BONNIE OR TASLEEM </t>
  </si>
  <si>
    <t>thembokuhle</t>
  </si>
  <si>
    <t>POD received from cell 0785988150 M</t>
  </si>
  <si>
    <t xml:space="preserve">CYLINDER/BOX </t>
  </si>
  <si>
    <t>POLYOAK</t>
  </si>
  <si>
    <t xml:space="preserve">MORNE </t>
  </si>
  <si>
    <t xml:space="preserve">Vincent </t>
  </si>
  <si>
    <t>Evette</t>
  </si>
  <si>
    <t xml:space="preserve">Flyer </t>
  </si>
  <si>
    <t xml:space="preserve">vincent                       </t>
  </si>
  <si>
    <t xml:space="preserve">POD received from cell 0717429658 M     </t>
  </si>
  <si>
    <t xml:space="preserve">FLYER </t>
  </si>
  <si>
    <t>CHERYL</t>
  </si>
  <si>
    <t>James</t>
  </si>
  <si>
    <t>FELICIA THOKO</t>
  </si>
  <si>
    <t>SIGNATURE</t>
  </si>
  <si>
    <t>COLT TRANSPORT SERVICES</t>
  </si>
  <si>
    <t>EBRAHIM JOOSAB</t>
  </si>
  <si>
    <t>ashiraf</t>
  </si>
  <si>
    <t>POD received from cell 0823051341 M</t>
  </si>
  <si>
    <t>SESHNI REDDY</t>
  </si>
  <si>
    <t>L Naicker</t>
  </si>
  <si>
    <t>POD received from cell 0732237417 M</t>
  </si>
  <si>
    <t>PMB BAGS   SHOES</t>
  </si>
  <si>
    <t>JERALE GOVENDER</t>
  </si>
  <si>
    <t xml:space="preserve">Jerale                        </t>
  </si>
  <si>
    <t xml:space="preserve">POD received from cell 0832532062 M     </t>
  </si>
  <si>
    <t>LOTRA CAPE TOWN</t>
  </si>
  <si>
    <t>SUSAN TAKAINDISA</t>
  </si>
  <si>
    <t>Dontay</t>
  </si>
  <si>
    <t>POD received from cell 0643226593 M</t>
  </si>
  <si>
    <t>NEEDMORE KUBARWA</t>
  </si>
  <si>
    <t>needmore</t>
  </si>
  <si>
    <t>LIMPHO MAPHIKE</t>
  </si>
  <si>
    <t>Tumelo</t>
  </si>
  <si>
    <t>POD received from cell 0835292772 M</t>
  </si>
  <si>
    <t>ANNE STEYL</t>
  </si>
  <si>
    <t>Anne steyl</t>
  </si>
  <si>
    <t>CRYSANNE SOURIS</t>
  </si>
  <si>
    <t>POD received from cell 0818590343 M</t>
  </si>
  <si>
    <t>Jyleen</t>
  </si>
  <si>
    <t>KRUGE</t>
  </si>
  <si>
    <t>KRUGERSDORP</t>
  </si>
  <si>
    <t>GRINDING TECHNOLOGUES</t>
  </si>
  <si>
    <t>ANTON</t>
  </si>
  <si>
    <t>CASH SALES-WIEHAN SERFONTEIN</t>
  </si>
  <si>
    <t>WESLEY</t>
  </si>
  <si>
    <t>wesley</t>
  </si>
  <si>
    <t>KLYDON</t>
  </si>
  <si>
    <t>Carl</t>
  </si>
  <si>
    <t>lazelle</t>
  </si>
  <si>
    <t>FREDDIE</t>
  </si>
  <si>
    <t>nolwazi</t>
  </si>
  <si>
    <t>ANDREW SALMON</t>
  </si>
  <si>
    <t>S Salmon</t>
  </si>
  <si>
    <t>VEREE</t>
  </si>
  <si>
    <t>VEREENIGING</t>
  </si>
  <si>
    <t>LETHABO MAEBANA</t>
  </si>
  <si>
    <t>POD received from cell 0825995905 M</t>
  </si>
  <si>
    <t>SEBENZANA WOODMEAD OFF PARK</t>
  </si>
  <si>
    <t>ALISTAIR MOODIE</t>
  </si>
  <si>
    <t>Robyn</t>
  </si>
  <si>
    <t>POD received from cell 0720457394 M</t>
  </si>
  <si>
    <t>DESIREE KAIZER</t>
  </si>
  <si>
    <t>Sandra</t>
  </si>
  <si>
    <t>WARMB</t>
  </si>
  <si>
    <t>WARMBAD</t>
  </si>
  <si>
    <t>JANE CILLIERS</t>
  </si>
  <si>
    <t>JANE</t>
  </si>
  <si>
    <t>GRAHA</t>
  </si>
  <si>
    <t>GRAHAMSTOWN</t>
  </si>
  <si>
    <t>NICOLA GRAHAM</t>
  </si>
  <si>
    <t xml:space="preserve">NICOLA GRAHAM                 </t>
  </si>
  <si>
    <t xml:space="preserve">POD received from cell 0799780879 M     </t>
  </si>
  <si>
    <t>HEMEL EN AARDE</t>
  </si>
  <si>
    <t>viroza</t>
  </si>
  <si>
    <t>NOSISA MANGAKANYAKA</t>
  </si>
  <si>
    <t>shane</t>
  </si>
  <si>
    <t>SAMRAND BUSS PARK</t>
  </si>
  <si>
    <t>MARCO HILL</t>
  </si>
  <si>
    <t>CHERYL-ANN  RALTON</t>
  </si>
  <si>
    <t xml:space="preserve"> CARRISTON</t>
  </si>
  <si>
    <t>allistair</t>
  </si>
  <si>
    <t>COLINDALE TRADING BASICS HOME</t>
  </si>
  <si>
    <t>SBAHLE SOSIBO</t>
  </si>
  <si>
    <t>xoiam</t>
  </si>
  <si>
    <t>VRED3</t>
  </si>
  <si>
    <t>VREDENBURG</t>
  </si>
  <si>
    <t>VREDENBURG AGRIMARK</t>
  </si>
  <si>
    <t>JOB:11823 REF:04SAR00108545</t>
  </si>
  <si>
    <t xml:space="preserve">JOHN                          </t>
  </si>
  <si>
    <t xml:space="preserve">POD received from cell 0717479643 M     </t>
  </si>
  <si>
    <t>ALLISTAIR</t>
  </si>
  <si>
    <t>BAT SOUTH AFRICA</t>
  </si>
  <si>
    <t>ZINHLE TOZI NXUMALO</t>
  </si>
  <si>
    <t>sig</t>
  </si>
  <si>
    <t>ATLAN</t>
  </si>
  <si>
    <t>ATLANTIS</t>
  </si>
  <si>
    <t>SWARTLAND INVESTMENTS PTY</t>
  </si>
  <si>
    <t>NABEAL MORNE</t>
  </si>
  <si>
    <t>chrizelle</t>
  </si>
  <si>
    <t>POD received from cell 0844549356 M</t>
  </si>
  <si>
    <t>TRECTRA</t>
  </si>
  <si>
    <t>INDUSTRIA BAG</t>
  </si>
  <si>
    <t>RECOVERY J19267 ON1</t>
  </si>
  <si>
    <t>louise</t>
  </si>
  <si>
    <t>TECTRA AUTOMATON</t>
  </si>
  <si>
    <t>RECOVERY ENRICO J19267 ON1</t>
  </si>
  <si>
    <t>vukani</t>
  </si>
  <si>
    <t>RECOVERT J19267 ON1 ATT WARREN 0605547198</t>
  </si>
  <si>
    <t>VINCET</t>
  </si>
  <si>
    <t>NKULULEKO</t>
  </si>
  <si>
    <t>UNITA</t>
  </si>
  <si>
    <t>URSULA</t>
  </si>
  <si>
    <t>KELLY ARDENSE</t>
  </si>
  <si>
    <t>PONGO</t>
  </si>
  <si>
    <t>PONGOLA</t>
  </si>
  <si>
    <t>COCO CABANA GUEST HSE</t>
  </si>
  <si>
    <t>SORITE DE JAGER</t>
  </si>
  <si>
    <t>POD received from cell 0724402488 M</t>
  </si>
  <si>
    <t>PACK N SPIKE</t>
  </si>
  <si>
    <t>TERSIA PRETORIUS</t>
  </si>
  <si>
    <t>Leah</t>
  </si>
  <si>
    <t>VAL ROWLES</t>
  </si>
  <si>
    <t>J ROWLES</t>
  </si>
  <si>
    <t>SHAYAR NAIR</t>
  </si>
  <si>
    <t>POD received from cell 0727881903 M</t>
  </si>
  <si>
    <t>Vuyo</t>
  </si>
  <si>
    <t>TECTRA AUTOMATION RF PTY LTD</t>
  </si>
  <si>
    <t>HIGHFORCE</t>
  </si>
  <si>
    <t>RBC CLOVER</t>
  </si>
  <si>
    <t>HERMAN</t>
  </si>
  <si>
    <t>francois de wof</t>
  </si>
  <si>
    <t>EAR / FUE / DOC</t>
  </si>
  <si>
    <t>POD received from cell 0767013706 M</t>
  </si>
  <si>
    <t>PIET</t>
  </si>
  <si>
    <t>PIET RETIEF</t>
  </si>
  <si>
    <t>MAHIDA</t>
  </si>
  <si>
    <t>ELIGIBLE</t>
  </si>
  <si>
    <t>BAT SA</t>
  </si>
  <si>
    <t>ANTON STRYDOM</t>
  </si>
  <si>
    <t>Segametsi</t>
  </si>
  <si>
    <t>9 KILDOON ROAD</t>
  </si>
  <si>
    <t>JOHNNY COPELAND 0829</t>
  </si>
  <si>
    <t>KHALIK SHERRIF</t>
  </si>
  <si>
    <t>ELLEGE</t>
  </si>
  <si>
    <t>VOITH TURBO</t>
  </si>
  <si>
    <t>SEDZANI</t>
  </si>
  <si>
    <t>sedzane</t>
  </si>
  <si>
    <t>RESCUE TECHNOLOGY</t>
  </si>
  <si>
    <t>CHARLES</t>
  </si>
  <si>
    <t>DANN</t>
  </si>
  <si>
    <t>POD received from cell 0715155602 M</t>
  </si>
  <si>
    <t>ANN JOYNT</t>
  </si>
  <si>
    <t>joyn</t>
  </si>
  <si>
    <t>THE EXECUTIVE ESTATE</t>
  </si>
  <si>
    <t>PLEASE PHONE TO GET AN ACCESS CODE</t>
  </si>
  <si>
    <t>CHRIS FARRAUT</t>
  </si>
  <si>
    <t>Sind</t>
  </si>
  <si>
    <t>POD received from cell 0834941426 M</t>
  </si>
  <si>
    <t>KUILS RIVER NETCARE HOSPITAL</t>
  </si>
  <si>
    <t>PIETER VAN DER BILJ</t>
  </si>
  <si>
    <t>Edward</t>
  </si>
  <si>
    <t>POD received from cell 0651028395 M</t>
  </si>
  <si>
    <t>KOTHA CONSTRUCTION</t>
  </si>
  <si>
    <t>MAITE NKOSI</t>
  </si>
  <si>
    <t>Mamohau</t>
  </si>
  <si>
    <t>POD received from cell 0721761312 M</t>
  </si>
  <si>
    <t>DAVE STRYDOM</t>
  </si>
  <si>
    <t>Gaire</t>
  </si>
  <si>
    <t>TECTRA AUROMAION RF PTY LTD</t>
  </si>
  <si>
    <t>TIZO RALTON</t>
  </si>
  <si>
    <t>Thulani</t>
  </si>
  <si>
    <t>shalin</t>
  </si>
  <si>
    <t>POD received from cell 0733966806 M</t>
  </si>
  <si>
    <t>JULIE ANDRE</t>
  </si>
  <si>
    <t>LUGGAGE</t>
  </si>
  <si>
    <t>Renee</t>
  </si>
  <si>
    <t>JOHANNES VOGES</t>
  </si>
  <si>
    <t>j  voges</t>
  </si>
  <si>
    <t>BENON</t>
  </si>
  <si>
    <t>BENONI</t>
  </si>
  <si>
    <t>IAN HOFFMANN</t>
  </si>
  <si>
    <t>Catherine</t>
  </si>
  <si>
    <t>POD received from cell 0658000152 M</t>
  </si>
  <si>
    <t>ALAN NEVALKISSOR</t>
  </si>
  <si>
    <t>CEZIL NAVALKISSAR</t>
  </si>
  <si>
    <t>PLEASE CALL BEFORE DELIVERY</t>
  </si>
  <si>
    <t>SOFIA PASTAWSKI</t>
  </si>
  <si>
    <t>Redirect waybill on waybill nu</t>
  </si>
  <si>
    <t>ROZAHN REUS SWANEPOEL</t>
  </si>
  <si>
    <t>rozhan</t>
  </si>
  <si>
    <t>DISE SE WET</t>
  </si>
  <si>
    <t>FIONA OLIVIER</t>
  </si>
  <si>
    <t>dane</t>
  </si>
  <si>
    <t>MAHMOOD</t>
  </si>
  <si>
    <t>STHABILE</t>
  </si>
  <si>
    <t>POD received from cell 0724759630 M</t>
  </si>
  <si>
    <t>ADA LIGHTING</t>
  </si>
  <si>
    <t>WYERS WIUM</t>
  </si>
  <si>
    <t>Z Wium</t>
  </si>
  <si>
    <t>POD received from cell 0734787843 M</t>
  </si>
  <si>
    <t>BONNIE</t>
  </si>
  <si>
    <t>serco</t>
  </si>
  <si>
    <t>THATO MOTHEBE</t>
  </si>
  <si>
    <t>Thato</t>
  </si>
  <si>
    <t>SALOMEN JOUBERT</t>
  </si>
  <si>
    <t>Daniel</t>
  </si>
  <si>
    <t>MURRAY STEVENSON</t>
  </si>
  <si>
    <t>Murray</t>
  </si>
  <si>
    <t>POD received from cell 0730059234 M</t>
  </si>
  <si>
    <t>POD received from cell 0723237008 M</t>
  </si>
  <si>
    <t>MITAS CORPORATION PTY</t>
  </si>
  <si>
    <t>Lawrence</t>
  </si>
  <si>
    <t>GONUB</t>
  </si>
  <si>
    <t>GONUBIE</t>
  </si>
  <si>
    <t>JAY POTE</t>
  </si>
  <si>
    <t>ZEVISHA NAIDOO</t>
  </si>
  <si>
    <t>vish</t>
  </si>
  <si>
    <t>THULI MOKONE</t>
  </si>
  <si>
    <t>Aubrey</t>
  </si>
  <si>
    <t>POD received from cell 0720506267 M</t>
  </si>
  <si>
    <t>STILF</t>
  </si>
  <si>
    <t>STILFONTEIN</t>
  </si>
  <si>
    <t>NADJA MEYER</t>
  </si>
  <si>
    <t>MELADRI</t>
  </si>
  <si>
    <t>POD received from cell 0685802319 M</t>
  </si>
  <si>
    <t>THE LAB</t>
  </si>
  <si>
    <t>CAILYN HENDRICKSZ</t>
  </si>
  <si>
    <t>ILLEG</t>
  </si>
  <si>
    <t>MIDD2</t>
  </si>
  <si>
    <t>MIDDELBURG (Mpumalanga)</t>
  </si>
  <si>
    <t>ERA WITBANK</t>
  </si>
  <si>
    <t>ELAINE OWEN</t>
  </si>
  <si>
    <t>Elaine</t>
  </si>
  <si>
    <t>POD received from cell 0793866786 M</t>
  </si>
  <si>
    <t>RIA NE DU PREEZ</t>
  </si>
  <si>
    <t>RIA</t>
  </si>
  <si>
    <t>NICKY WEBB</t>
  </si>
  <si>
    <t>nicky</t>
  </si>
  <si>
    <t>PARKLITE</t>
  </si>
  <si>
    <t>DISKONTO STATIONERY</t>
  </si>
  <si>
    <t>STEPHNE TURKER</t>
  </si>
  <si>
    <t>Michale</t>
  </si>
  <si>
    <t>TIRO</t>
  </si>
  <si>
    <t>TECTRA AUTOMATION    PTYLTD</t>
  </si>
  <si>
    <t>BRIDGITTE</t>
  </si>
  <si>
    <t>Sarah</t>
  </si>
  <si>
    <t>AFTUS VENTER</t>
  </si>
  <si>
    <t>ELANE</t>
  </si>
  <si>
    <t>Johanna</t>
  </si>
  <si>
    <t>DAIRYTECH CC</t>
  </si>
  <si>
    <t>TONY</t>
  </si>
  <si>
    <t>Trudie</t>
  </si>
  <si>
    <t>ECOCHEM PUMPS</t>
  </si>
  <si>
    <t>RIJAN</t>
  </si>
  <si>
    <t>Jan-Leigh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</si>
</sst>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;[Red]&quot;R&quot;\ \-#,##0"/>
  </numFmts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EBF5B-471E-4789-B232-061057CDCFCA}">
  <dimension ref="A1:CN267"/>
  <sheetViews>
    <sheetView tabSelected="1" topLeftCell="A257" workbookViewId="0">
      <selection activeCell="A268" sqref="A268:XFD4796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"009942720996"</f>
        <v>009942720996</v>
      </c>
      <c r="F2" s="3">
        <v>44813</v>
      </c>
      <c r="G2">
        <v>202306</v>
      </c>
      <c r="H2" t="s">
        <v>75</v>
      </c>
      <c r="I2" t="s">
        <v>76</v>
      </c>
      <c r="J2" t="s">
        <v>77</v>
      </c>
      <c r="L2" t="s">
        <v>78</v>
      </c>
      <c r="M2" t="s">
        <v>79</v>
      </c>
      <c r="N2" t="s">
        <v>80</v>
      </c>
      <c r="O2" t="s">
        <v>81</v>
      </c>
      <c r="P2" t="str">
        <f>"N A"</f>
        <v>N A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40.49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213.28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2.6</v>
      </c>
      <c r="BJ2">
        <v>1.7</v>
      </c>
      <c r="BK2">
        <v>3</v>
      </c>
      <c r="BL2">
        <v>319.07</v>
      </c>
      <c r="BM2">
        <v>47.86</v>
      </c>
      <c r="BN2">
        <v>366.93</v>
      </c>
      <c r="BO2">
        <v>366.93</v>
      </c>
      <c r="BR2" t="s">
        <v>82</v>
      </c>
      <c r="BS2" s="3">
        <v>44816</v>
      </c>
      <c r="BT2" s="4">
        <v>0.37152777777777773</v>
      </c>
      <c r="BU2" t="s">
        <v>83</v>
      </c>
      <c r="BV2" t="s">
        <v>84</v>
      </c>
      <c r="BY2">
        <v>8640.32</v>
      </c>
      <c r="BZ2" t="s">
        <v>85</v>
      </c>
      <c r="CC2" t="s">
        <v>79</v>
      </c>
      <c r="CD2">
        <v>6529</v>
      </c>
      <c r="CE2" t="s">
        <v>86</v>
      </c>
      <c r="CI2">
        <v>1</v>
      </c>
      <c r="CJ2">
        <v>1</v>
      </c>
      <c r="CK2">
        <v>21</v>
      </c>
    </row>
    <row r="3" spans="1:92" x14ac:dyDescent="0.3">
      <c r="A3" t="s">
        <v>72</v>
      </c>
      <c r="B3" t="s">
        <v>73</v>
      </c>
      <c r="C3" t="s">
        <v>74</v>
      </c>
      <c r="E3" t="str">
        <f>"009942883216"</f>
        <v>009942883216</v>
      </c>
      <c r="F3" s="3">
        <v>44830</v>
      </c>
      <c r="G3">
        <v>202306</v>
      </c>
      <c r="H3" t="s">
        <v>87</v>
      </c>
      <c r="I3" t="s">
        <v>88</v>
      </c>
      <c r="J3" t="s">
        <v>89</v>
      </c>
      <c r="L3" t="s">
        <v>90</v>
      </c>
      <c r="M3" t="s">
        <v>91</v>
      </c>
      <c r="N3" t="s">
        <v>92</v>
      </c>
      <c r="O3" t="s">
        <v>93</v>
      </c>
      <c r="P3" t="str">
        <f>""</f>
        <v/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455</v>
      </c>
      <c r="AF3">
        <v>0</v>
      </c>
      <c r="AG3">
        <v>0</v>
      </c>
      <c r="AH3">
        <v>0</v>
      </c>
      <c r="AI3">
        <v>0</v>
      </c>
      <c r="AJ3">
        <v>0</v>
      </c>
      <c r="AK3">
        <v>309.08999999999997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0.3</v>
      </c>
      <c r="BK3">
        <v>1</v>
      </c>
      <c r="BL3">
        <v>807.63</v>
      </c>
      <c r="BM3">
        <v>121.14</v>
      </c>
      <c r="BN3">
        <v>928.77</v>
      </c>
      <c r="BO3">
        <v>928.77</v>
      </c>
      <c r="BP3" t="s">
        <v>93</v>
      </c>
      <c r="BQ3" t="s">
        <v>94</v>
      </c>
      <c r="BR3" t="s">
        <v>95</v>
      </c>
      <c r="BS3" s="3">
        <v>44831</v>
      </c>
      <c r="BT3" s="4">
        <v>0.29166666666666669</v>
      </c>
      <c r="BU3" t="s">
        <v>96</v>
      </c>
      <c r="BV3" t="s">
        <v>97</v>
      </c>
      <c r="BY3">
        <v>1600</v>
      </c>
      <c r="BZ3" t="s">
        <v>98</v>
      </c>
      <c r="CA3">
        <v>9942820984</v>
      </c>
      <c r="CC3" t="s">
        <v>91</v>
      </c>
      <c r="CD3">
        <v>7441</v>
      </c>
      <c r="CE3" t="s">
        <v>86</v>
      </c>
      <c r="CI3">
        <v>0</v>
      </c>
      <c r="CJ3">
        <v>1</v>
      </c>
      <c r="CK3">
        <v>21</v>
      </c>
    </row>
    <row r="4" spans="1:92" x14ac:dyDescent="0.3">
      <c r="A4" t="s">
        <v>72</v>
      </c>
      <c r="B4" t="s">
        <v>73</v>
      </c>
      <c r="C4" t="s">
        <v>74</v>
      </c>
      <c r="E4" t="str">
        <f>"009942873226"</f>
        <v>009942873226</v>
      </c>
      <c r="F4" s="3">
        <v>44832</v>
      </c>
      <c r="G4">
        <v>202306</v>
      </c>
      <c r="H4" t="s">
        <v>99</v>
      </c>
      <c r="I4" t="s">
        <v>100</v>
      </c>
      <c r="J4" t="s">
        <v>89</v>
      </c>
      <c r="L4" t="s">
        <v>101</v>
      </c>
      <c r="M4" t="s">
        <v>102</v>
      </c>
      <c r="N4" t="s">
        <v>89</v>
      </c>
      <c r="O4" t="s">
        <v>93</v>
      </c>
      <c r="P4" t="str">
        <f>""</f>
        <v/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455</v>
      </c>
      <c r="AF4">
        <v>0</v>
      </c>
      <c r="AG4">
        <v>0</v>
      </c>
      <c r="AH4">
        <v>0</v>
      </c>
      <c r="AI4">
        <v>0</v>
      </c>
      <c r="AJ4">
        <v>0</v>
      </c>
      <c r="AK4">
        <v>309.08999999999997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2</v>
      </c>
      <c r="BJ4">
        <v>0.5</v>
      </c>
      <c r="BK4">
        <v>2</v>
      </c>
      <c r="BL4">
        <v>807.63</v>
      </c>
      <c r="BM4">
        <v>121.14</v>
      </c>
      <c r="BN4">
        <v>928.77</v>
      </c>
      <c r="BO4">
        <v>928.77</v>
      </c>
      <c r="BQ4" t="s">
        <v>103</v>
      </c>
      <c r="BR4" t="s">
        <v>104</v>
      </c>
      <c r="BS4" s="3">
        <v>44833</v>
      </c>
      <c r="BT4" s="4">
        <v>0.33333333333333331</v>
      </c>
      <c r="BU4" t="s">
        <v>105</v>
      </c>
      <c r="BV4" t="s">
        <v>97</v>
      </c>
      <c r="BY4">
        <v>2400</v>
      </c>
      <c r="BZ4" t="s">
        <v>98</v>
      </c>
      <c r="CC4" t="s">
        <v>102</v>
      </c>
      <c r="CD4">
        <v>6070</v>
      </c>
      <c r="CE4" t="s">
        <v>86</v>
      </c>
      <c r="CI4">
        <v>0</v>
      </c>
      <c r="CJ4">
        <v>1</v>
      </c>
      <c r="CK4">
        <v>21</v>
      </c>
    </row>
    <row r="5" spans="1:92" x14ac:dyDescent="0.3">
      <c r="A5" t="s">
        <v>72</v>
      </c>
      <c r="B5" t="s">
        <v>73</v>
      </c>
      <c r="C5" t="s">
        <v>74</v>
      </c>
      <c r="E5" t="str">
        <f>"009942381187"</f>
        <v>009942381187</v>
      </c>
      <c r="F5" s="3">
        <v>44830</v>
      </c>
      <c r="G5">
        <v>202306</v>
      </c>
      <c r="H5" t="s">
        <v>90</v>
      </c>
      <c r="I5" t="s">
        <v>91</v>
      </c>
      <c r="J5" t="s">
        <v>89</v>
      </c>
      <c r="L5" t="s">
        <v>90</v>
      </c>
      <c r="M5" t="s">
        <v>91</v>
      </c>
      <c r="N5" t="s">
        <v>106</v>
      </c>
      <c r="O5" t="s">
        <v>107</v>
      </c>
      <c r="P5" t="str">
        <f>"CPT661325"</f>
        <v>CPT661325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21.09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55.11</v>
      </c>
      <c r="BM5">
        <v>8.27</v>
      </c>
      <c r="BN5">
        <v>63.38</v>
      </c>
      <c r="BO5">
        <v>63.38</v>
      </c>
      <c r="BP5" t="s">
        <v>108</v>
      </c>
      <c r="BR5" t="s">
        <v>109</v>
      </c>
      <c r="BS5" s="3">
        <v>44830</v>
      </c>
      <c r="BT5" s="4">
        <v>0.50694444444444442</v>
      </c>
      <c r="BU5" t="s">
        <v>110</v>
      </c>
      <c r="BV5" t="s">
        <v>84</v>
      </c>
      <c r="BY5">
        <v>1200</v>
      </c>
      <c r="BZ5" t="s">
        <v>111</v>
      </c>
      <c r="CC5" t="s">
        <v>91</v>
      </c>
      <c r="CD5">
        <v>7405</v>
      </c>
      <c r="CE5" t="s">
        <v>86</v>
      </c>
      <c r="CI5">
        <v>1</v>
      </c>
      <c r="CJ5">
        <v>0</v>
      </c>
      <c r="CK5">
        <v>32</v>
      </c>
    </row>
    <row r="6" spans="1:92" x14ac:dyDescent="0.3">
      <c r="A6" t="s">
        <v>72</v>
      </c>
      <c r="B6" t="s">
        <v>73</v>
      </c>
      <c r="C6" t="s">
        <v>74</v>
      </c>
      <c r="E6" t="str">
        <f>"009942883211"</f>
        <v>009942883211</v>
      </c>
      <c r="F6" s="3">
        <v>44831</v>
      </c>
      <c r="G6">
        <v>202306</v>
      </c>
      <c r="H6" t="s">
        <v>87</v>
      </c>
      <c r="I6" t="s">
        <v>88</v>
      </c>
      <c r="J6" t="s">
        <v>89</v>
      </c>
      <c r="L6" t="s">
        <v>112</v>
      </c>
      <c r="M6" t="s">
        <v>113</v>
      </c>
      <c r="N6" t="s">
        <v>114</v>
      </c>
      <c r="O6" t="s">
        <v>81</v>
      </c>
      <c r="P6" t="str">
        <f>"J27179"</f>
        <v>J27179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148.9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7.9</v>
      </c>
      <c r="BJ6">
        <v>4.5</v>
      </c>
      <c r="BK6">
        <v>8</v>
      </c>
      <c r="BL6">
        <v>389.06</v>
      </c>
      <c r="BM6">
        <v>58.36</v>
      </c>
      <c r="BN6">
        <v>447.42</v>
      </c>
      <c r="BO6">
        <v>447.42</v>
      </c>
      <c r="BR6" t="s">
        <v>82</v>
      </c>
      <c r="BS6" s="3">
        <v>44832</v>
      </c>
      <c r="BT6" s="4">
        <v>0.45208333333333334</v>
      </c>
      <c r="BU6" t="s">
        <v>115</v>
      </c>
      <c r="BV6" t="s">
        <v>97</v>
      </c>
      <c r="BY6">
        <v>22487.040000000001</v>
      </c>
      <c r="BZ6" t="s">
        <v>116</v>
      </c>
      <c r="CA6" t="s">
        <v>117</v>
      </c>
      <c r="CC6" t="s">
        <v>113</v>
      </c>
      <c r="CD6">
        <v>1900</v>
      </c>
      <c r="CE6" t="s">
        <v>86</v>
      </c>
      <c r="CI6">
        <v>1</v>
      </c>
      <c r="CJ6">
        <v>1</v>
      </c>
      <c r="CK6">
        <v>24</v>
      </c>
    </row>
    <row r="7" spans="1:92" x14ac:dyDescent="0.3">
      <c r="A7" t="s">
        <v>72</v>
      </c>
      <c r="B7" t="s">
        <v>73</v>
      </c>
      <c r="C7" t="s">
        <v>74</v>
      </c>
      <c r="E7" t="str">
        <f>"009942883209"</f>
        <v>009942883209</v>
      </c>
      <c r="F7" s="3">
        <v>44831</v>
      </c>
      <c r="G7">
        <v>202306</v>
      </c>
      <c r="H7" t="s">
        <v>87</v>
      </c>
      <c r="I7" t="s">
        <v>88</v>
      </c>
      <c r="J7" t="s">
        <v>89</v>
      </c>
      <c r="L7" t="s">
        <v>118</v>
      </c>
      <c r="M7" t="s">
        <v>119</v>
      </c>
      <c r="N7" t="s">
        <v>120</v>
      </c>
      <c r="O7" t="s">
        <v>81</v>
      </c>
      <c r="P7" t="str">
        <f>"J27885"</f>
        <v>J27885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26.99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1.6</v>
      </c>
      <c r="BJ7">
        <v>0.4</v>
      </c>
      <c r="BK7">
        <v>2</v>
      </c>
      <c r="BL7">
        <v>70.53</v>
      </c>
      <c r="BM7">
        <v>10.58</v>
      </c>
      <c r="BN7">
        <v>81.11</v>
      </c>
      <c r="BO7">
        <v>81.11</v>
      </c>
      <c r="BQ7" t="s">
        <v>121</v>
      </c>
      <c r="BR7" t="s">
        <v>82</v>
      </c>
      <c r="BS7" s="3">
        <v>44832</v>
      </c>
      <c r="BT7" s="4">
        <v>0.38541666666666669</v>
      </c>
      <c r="BU7" t="s">
        <v>122</v>
      </c>
      <c r="BV7" t="s">
        <v>84</v>
      </c>
      <c r="BY7">
        <v>1909.93</v>
      </c>
      <c r="BZ7" t="s">
        <v>116</v>
      </c>
      <c r="CA7" t="s">
        <v>123</v>
      </c>
      <c r="CC7" t="s">
        <v>119</v>
      </c>
      <c r="CD7">
        <v>127</v>
      </c>
      <c r="CE7" t="s">
        <v>86</v>
      </c>
      <c r="CI7">
        <v>1</v>
      </c>
      <c r="CJ7">
        <v>1</v>
      </c>
      <c r="CK7">
        <v>21</v>
      </c>
    </row>
    <row r="8" spans="1:92" x14ac:dyDescent="0.3">
      <c r="A8" t="s">
        <v>72</v>
      </c>
      <c r="B8" t="s">
        <v>73</v>
      </c>
      <c r="C8" t="s">
        <v>74</v>
      </c>
      <c r="E8" t="str">
        <f>"009942358061"</f>
        <v>009942358061</v>
      </c>
      <c r="F8" s="3">
        <v>44831</v>
      </c>
      <c r="G8">
        <v>202306</v>
      </c>
      <c r="H8" t="s">
        <v>90</v>
      </c>
      <c r="I8" t="s">
        <v>91</v>
      </c>
      <c r="J8" t="s">
        <v>124</v>
      </c>
      <c r="L8" t="s">
        <v>125</v>
      </c>
      <c r="M8" t="s">
        <v>125</v>
      </c>
      <c r="N8" t="s">
        <v>126</v>
      </c>
      <c r="O8" t="s">
        <v>127</v>
      </c>
      <c r="P8" t="str">
        <f>"O NO:03DOE00064101 JOB:11831"</f>
        <v>O NO:03DOE00064101 JOB:11831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15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57.65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11.7</v>
      </c>
      <c r="BJ8">
        <v>14</v>
      </c>
      <c r="BK8">
        <v>14</v>
      </c>
      <c r="BL8">
        <v>170.89</v>
      </c>
      <c r="BM8">
        <v>25.63</v>
      </c>
      <c r="BN8">
        <v>196.52</v>
      </c>
      <c r="BO8">
        <v>196.52</v>
      </c>
      <c r="BQ8" t="s">
        <v>128</v>
      </c>
      <c r="BR8" t="s">
        <v>129</v>
      </c>
      <c r="BS8" s="3">
        <v>44832</v>
      </c>
      <c r="BT8" s="4">
        <v>0.48749999999999999</v>
      </c>
      <c r="BU8" t="s">
        <v>130</v>
      </c>
      <c r="BV8" t="s">
        <v>84</v>
      </c>
      <c r="BY8">
        <v>69871.73</v>
      </c>
      <c r="BZ8" t="s">
        <v>131</v>
      </c>
      <c r="CA8" t="s">
        <v>132</v>
      </c>
      <c r="CC8" t="s">
        <v>125</v>
      </c>
      <c r="CD8">
        <v>7646</v>
      </c>
      <c r="CE8" t="s">
        <v>86</v>
      </c>
      <c r="CI8">
        <v>4</v>
      </c>
      <c r="CJ8">
        <v>1</v>
      </c>
      <c r="CK8">
        <v>44</v>
      </c>
    </row>
    <row r="9" spans="1:92" x14ac:dyDescent="0.3">
      <c r="A9" t="s">
        <v>72</v>
      </c>
      <c r="B9" t="s">
        <v>73</v>
      </c>
      <c r="C9" t="s">
        <v>74</v>
      </c>
      <c r="E9" t="str">
        <f>"009942883206"</f>
        <v>009942883206</v>
      </c>
      <c r="F9" s="3">
        <v>44831</v>
      </c>
      <c r="G9">
        <v>202306</v>
      </c>
      <c r="H9" t="s">
        <v>87</v>
      </c>
      <c r="I9" t="s">
        <v>88</v>
      </c>
      <c r="J9" t="s">
        <v>89</v>
      </c>
      <c r="L9" t="s">
        <v>133</v>
      </c>
      <c r="M9" t="s">
        <v>134</v>
      </c>
      <c r="N9" t="s">
        <v>135</v>
      </c>
      <c r="O9" t="s">
        <v>81</v>
      </c>
      <c r="P9" t="str">
        <f>"P56172"</f>
        <v>P56172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26.15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3.5</v>
      </c>
      <c r="BJ9">
        <v>8.6999999999999993</v>
      </c>
      <c r="BK9">
        <v>9</v>
      </c>
      <c r="BL9">
        <v>68.319999999999993</v>
      </c>
      <c r="BM9">
        <v>10.25</v>
      </c>
      <c r="BN9">
        <v>78.569999999999993</v>
      </c>
      <c r="BO9">
        <v>78.569999999999993</v>
      </c>
      <c r="BQ9" t="s">
        <v>136</v>
      </c>
      <c r="BR9" t="s">
        <v>82</v>
      </c>
      <c r="BS9" s="3">
        <v>44832</v>
      </c>
      <c r="BT9" s="4">
        <v>0.43402777777777773</v>
      </c>
      <c r="BU9" t="s">
        <v>137</v>
      </c>
      <c r="BV9" t="s">
        <v>84</v>
      </c>
      <c r="BY9">
        <v>43716.33</v>
      </c>
      <c r="BZ9" t="s">
        <v>116</v>
      </c>
      <c r="CA9" t="s">
        <v>138</v>
      </c>
      <c r="CC9" t="s">
        <v>134</v>
      </c>
      <c r="CD9">
        <v>2146</v>
      </c>
      <c r="CE9" t="s">
        <v>86</v>
      </c>
      <c r="CI9">
        <v>1</v>
      </c>
      <c r="CJ9">
        <v>1</v>
      </c>
      <c r="CK9">
        <v>22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"009942883207"</f>
        <v>009942883207</v>
      </c>
      <c r="F10" s="3">
        <v>44831</v>
      </c>
      <c r="G10">
        <v>202306</v>
      </c>
      <c r="H10" t="s">
        <v>87</v>
      </c>
      <c r="I10" t="s">
        <v>88</v>
      </c>
      <c r="J10" t="s">
        <v>89</v>
      </c>
      <c r="L10" t="s">
        <v>87</v>
      </c>
      <c r="M10" t="s">
        <v>88</v>
      </c>
      <c r="N10" t="s">
        <v>139</v>
      </c>
      <c r="O10" t="s">
        <v>81</v>
      </c>
      <c r="P10" t="str">
        <f>"J27932"</f>
        <v>J27932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21.09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3.9</v>
      </c>
      <c r="BJ10">
        <v>4.3</v>
      </c>
      <c r="BK10">
        <v>4.5</v>
      </c>
      <c r="BL10">
        <v>55.1</v>
      </c>
      <c r="BM10">
        <v>8.27</v>
      </c>
      <c r="BN10">
        <v>63.37</v>
      </c>
      <c r="BO10">
        <v>63.37</v>
      </c>
      <c r="BQ10" t="s">
        <v>140</v>
      </c>
      <c r="BR10" t="s">
        <v>82</v>
      </c>
      <c r="BS10" s="3">
        <v>44832</v>
      </c>
      <c r="BT10" s="4">
        <v>0.43402777777777773</v>
      </c>
      <c r="BU10" t="s">
        <v>141</v>
      </c>
      <c r="BV10" t="s">
        <v>84</v>
      </c>
      <c r="BY10">
        <v>21662.240000000002</v>
      </c>
      <c r="BZ10" t="s">
        <v>116</v>
      </c>
      <c r="CA10" t="s">
        <v>142</v>
      </c>
      <c r="CC10" t="s">
        <v>88</v>
      </c>
      <c r="CD10">
        <v>1614</v>
      </c>
      <c r="CE10" t="s">
        <v>86</v>
      </c>
      <c r="CI10">
        <v>1</v>
      </c>
      <c r="CJ10">
        <v>1</v>
      </c>
      <c r="CK10">
        <v>22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"009942873254"</f>
        <v>009942873254</v>
      </c>
      <c r="F11" s="3">
        <v>44831</v>
      </c>
      <c r="G11">
        <v>202306</v>
      </c>
      <c r="H11" t="s">
        <v>90</v>
      </c>
      <c r="I11" t="s">
        <v>91</v>
      </c>
      <c r="J11" t="s">
        <v>143</v>
      </c>
      <c r="L11" t="s">
        <v>101</v>
      </c>
      <c r="M11" t="s">
        <v>102</v>
      </c>
      <c r="N11" t="s">
        <v>89</v>
      </c>
      <c r="O11" t="s">
        <v>81</v>
      </c>
      <c r="P11" t="str">
        <f>"C2437 C00002437"</f>
        <v>C2437 C00002437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33.74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0.8</v>
      </c>
      <c r="BJ11">
        <v>2.4</v>
      </c>
      <c r="BK11">
        <v>2.5</v>
      </c>
      <c r="BL11">
        <v>88.16</v>
      </c>
      <c r="BM11">
        <v>13.22</v>
      </c>
      <c r="BN11">
        <v>101.38</v>
      </c>
      <c r="BO11">
        <v>101.38</v>
      </c>
      <c r="BQ11" t="s">
        <v>144</v>
      </c>
      <c r="BR11" t="s">
        <v>128</v>
      </c>
      <c r="BS11" s="3">
        <v>44832</v>
      </c>
      <c r="BT11" s="4">
        <v>0.3430555555555555</v>
      </c>
      <c r="BU11" t="s">
        <v>145</v>
      </c>
      <c r="BV11" t="s">
        <v>84</v>
      </c>
      <c r="BY11">
        <v>11855.35</v>
      </c>
      <c r="BZ11" t="s">
        <v>116</v>
      </c>
      <c r="CA11" t="s">
        <v>146</v>
      </c>
      <c r="CC11" t="s">
        <v>102</v>
      </c>
      <c r="CD11">
        <v>6070</v>
      </c>
      <c r="CE11" t="s">
        <v>86</v>
      </c>
      <c r="CI11">
        <v>1</v>
      </c>
      <c r="CJ11">
        <v>1</v>
      </c>
      <c r="CK11">
        <v>21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"009942581228"</f>
        <v>009942581228</v>
      </c>
      <c r="F12" s="3">
        <v>44831</v>
      </c>
      <c r="G12">
        <v>202306</v>
      </c>
      <c r="H12" t="s">
        <v>90</v>
      </c>
      <c r="I12" t="s">
        <v>91</v>
      </c>
      <c r="J12" t="s">
        <v>147</v>
      </c>
      <c r="L12" t="s">
        <v>90</v>
      </c>
      <c r="M12" t="s">
        <v>91</v>
      </c>
      <c r="N12" t="s">
        <v>148</v>
      </c>
      <c r="O12" t="s">
        <v>127</v>
      </c>
      <c r="P12" t="str">
        <f>"INV186702"</f>
        <v>INV186702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40.28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2.8</v>
      </c>
      <c r="BJ12">
        <v>11.5</v>
      </c>
      <c r="BK12">
        <v>12</v>
      </c>
      <c r="BL12">
        <v>110.5</v>
      </c>
      <c r="BM12">
        <v>16.579999999999998</v>
      </c>
      <c r="BN12">
        <v>127.08</v>
      </c>
      <c r="BO12">
        <v>127.08</v>
      </c>
      <c r="BQ12" t="s">
        <v>149</v>
      </c>
      <c r="BR12" t="s">
        <v>150</v>
      </c>
      <c r="BS12" s="3">
        <v>44832</v>
      </c>
      <c r="BT12" s="4">
        <v>0.51944444444444449</v>
      </c>
      <c r="BU12" t="s">
        <v>151</v>
      </c>
      <c r="BV12" t="s">
        <v>84</v>
      </c>
      <c r="BY12">
        <v>57341.41</v>
      </c>
      <c r="BZ12" t="s">
        <v>111</v>
      </c>
      <c r="CA12" t="s">
        <v>152</v>
      </c>
      <c r="CC12" t="s">
        <v>91</v>
      </c>
      <c r="CD12">
        <v>7806</v>
      </c>
      <c r="CE12" t="s">
        <v>86</v>
      </c>
      <c r="CI12">
        <v>4</v>
      </c>
      <c r="CJ12">
        <v>1</v>
      </c>
      <c r="CK12">
        <v>42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"009942581227"</f>
        <v>009942581227</v>
      </c>
      <c r="F13" s="3">
        <v>44831</v>
      </c>
      <c r="G13">
        <v>202306</v>
      </c>
      <c r="H13" t="s">
        <v>90</v>
      </c>
      <c r="I13" t="s">
        <v>91</v>
      </c>
      <c r="J13" t="s">
        <v>147</v>
      </c>
      <c r="L13" t="s">
        <v>118</v>
      </c>
      <c r="M13" t="s">
        <v>119</v>
      </c>
      <c r="N13" t="s">
        <v>148</v>
      </c>
      <c r="O13" t="s">
        <v>127</v>
      </c>
      <c r="P13" t="str">
        <f>"INV186696"</f>
        <v>INV186696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52.2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1.9</v>
      </c>
      <c r="BJ13">
        <v>9</v>
      </c>
      <c r="BK13">
        <v>9</v>
      </c>
      <c r="BL13">
        <v>141.65</v>
      </c>
      <c r="BM13">
        <v>21.25</v>
      </c>
      <c r="BN13">
        <v>162.9</v>
      </c>
      <c r="BO13">
        <v>162.9</v>
      </c>
      <c r="BP13" t="s">
        <v>153</v>
      </c>
      <c r="BQ13" t="s">
        <v>154</v>
      </c>
      <c r="BR13" t="s">
        <v>150</v>
      </c>
      <c r="BS13" s="3">
        <v>44833</v>
      </c>
      <c r="BT13" s="4">
        <v>0.55138888888888882</v>
      </c>
      <c r="BU13" t="s">
        <v>155</v>
      </c>
      <c r="BV13" t="s">
        <v>84</v>
      </c>
      <c r="BY13">
        <v>45032.959999999999</v>
      </c>
      <c r="BZ13" t="s">
        <v>111</v>
      </c>
      <c r="CA13" t="s">
        <v>156</v>
      </c>
      <c r="CC13" t="s">
        <v>119</v>
      </c>
      <c r="CD13">
        <v>1</v>
      </c>
      <c r="CE13" t="s">
        <v>86</v>
      </c>
      <c r="CI13">
        <v>3</v>
      </c>
      <c r="CJ13">
        <v>2</v>
      </c>
      <c r="CK13">
        <v>41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"009942581226"</f>
        <v>009942581226</v>
      </c>
      <c r="F14" s="3">
        <v>44831</v>
      </c>
      <c r="G14">
        <v>202306</v>
      </c>
      <c r="H14" t="s">
        <v>90</v>
      </c>
      <c r="I14" t="s">
        <v>91</v>
      </c>
      <c r="J14" t="s">
        <v>147</v>
      </c>
      <c r="L14" t="s">
        <v>157</v>
      </c>
      <c r="M14" t="s">
        <v>158</v>
      </c>
      <c r="N14" t="s">
        <v>159</v>
      </c>
      <c r="O14" t="s">
        <v>107</v>
      </c>
      <c r="P14" t="str">
        <f>"INV186687"</f>
        <v>INV186687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37.97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0.9</v>
      </c>
      <c r="BJ14">
        <v>2.5</v>
      </c>
      <c r="BK14">
        <v>3</v>
      </c>
      <c r="BL14">
        <v>99.21</v>
      </c>
      <c r="BM14">
        <v>14.88</v>
      </c>
      <c r="BN14">
        <v>114.09</v>
      </c>
      <c r="BO14">
        <v>114.09</v>
      </c>
      <c r="BQ14" t="s">
        <v>160</v>
      </c>
      <c r="BR14" t="s">
        <v>150</v>
      </c>
      <c r="BS14" s="3">
        <v>44832</v>
      </c>
      <c r="BT14" s="4">
        <v>0.50277777777777777</v>
      </c>
      <c r="BU14" t="s">
        <v>161</v>
      </c>
      <c r="BV14" t="s">
        <v>84</v>
      </c>
      <c r="BY14">
        <v>12585.69</v>
      </c>
      <c r="BZ14" t="s">
        <v>111</v>
      </c>
      <c r="CA14" t="s">
        <v>162</v>
      </c>
      <c r="CC14" t="s">
        <v>158</v>
      </c>
      <c r="CD14">
        <v>7200</v>
      </c>
      <c r="CE14" t="s">
        <v>86</v>
      </c>
      <c r="CI14">
        <v>1</v>
      </c>
      <c r="CJ14">
        <v>1</v>
      </c>
      <c r="CK14">
        <v>34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"009942581229"</f>
        <v>009942581229</v>
      </c>
      <c r="F15" s="3">
        <v>44831</v>
      </c>
      <c r="G15">
        <v>202306</v>
      </c>
      <c r="H15" t="s">
        <v>90</v>
      </c>
      <c r="I15" t="s">
        <v>91</v>
      </c>
      <c r="J15" t="s">
        <v>147</v>
      </c>
      <c r="L15" t="s">
        <v>90</v>
      </c>
      <c r="M15" t="s">
        <v>91</v>
      </c>
      <c r="N15" t="s">
        <v>148</v>
      </c>
      <c r="O15" t="s">
        <v>127</v>
      </c>
      <c r="P15" t="str">
        <f>"INV186716"</f>
        <v>INV186716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40.28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3.1</v>
      </c>
      <c r="BJ15">
        <v>10.6</v>
      </c>
      <c r="BK15">
        <v>11</v>
      </c>
      <c r="BL15">
        <v>110.5</v>
      </c>
      <c r="BM15">
        <v>16.579999999999998</v>
      </c>
      <c r="BN15">
        <v>127.08</v>
      </c>
      <c r="BO15">
        <v>127.08</v>
      </c>
      <c r="BQ15" t="s">
        <v>163</v>
      </c>
      <c r="BR15" t="s">
        <v>150</v>
      </c>
      <c r="BS15" s="3">
        <v>44832</v>
      </c>
      <c r="BT15" s="4">
        <v>0.40625</v>
      </c>
      <c r="BU15" t="s">
        <v>164</v>
      </c>
      <c r="BV15" t="s">
        <v>84</v>
      </c>
      <c r="BY15">
        <v>53082.74</v>
      </c>
      <c r="BZ15" t="s">
        <v>111</v>
      </c>
      <c r="CA15" t="s">
        <v>165</v>
      </c>
      <c r="CC15" t="s">
        <v>91</v>
      </c>
      <c r="CD15">
        <v>8001</v>
      </c>
      <c r="CE15" t="s">
        <v>86</v>
      </c>
      <c r="CI15">
        <v>3</v>
      </c>
      <c r="CJ15">
        <v>1</v>
      </c>
      <c r="CK15">
        <v>42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"009942581230"</f>
        <v>009942581230</v>
      </c>
      <c r="F16" s="3">
        <v>44831</v>
      </c>
      <c r="G16">
        <v>202306</v>
      </c>
      <c r="H16" t="s">
        <v>90</v>
      </c>
      <c r="I16" t="s">
        <v>91</v>
      </c>
      <c r="J16" t="s">
        <v>147</v>
      </c>
      <c r="L16" t="s">
        <v>90</v>
      </c>
      <c r="M16" t="s">
        <v>91</v>
      </c>
      <c r="N16" t="s">
        <v>148</v>
      </c>
      <c r="O16" t="s">
        <v>127</v>
      </c>
      <c r="P16" t="str">
        <f>""</f>
        <v/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40.28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3.5</v>
      </c>
      <c r="BJ16">
        <v>14</v>
      </c>
      <c r="BK16">
        <v>14</v>
      </c>
      <c r="BL16">
        <v>110.5</v>
      </c>
      <c r="BM16">
        <v>16.579999999999998</v>
      </c>
      <c r="BN16">
        <v>127.08</v>
      </c>
      <c r="BO16">
        <v>127.08</v>
      </c>
      <c r="BQ16" t="s">
        <v>166</v>
      </c>
      <c r="BR16" t="s">
        <v>150</v>
      </c>
      <c r="BS16" s="3">
        <v>44832</v>
      </c>
      <c r="BT16" s="4">
        <v>0.4458333333333333</v>
      </c>
      <c r="BU16" t="s">
        <v>167</v>
      </c>
      <c r="BV16" t="s">
        <v>84</v>
      </c>
      <c r="BY16">
        <v>70054.080000000002</v>
      </c>
      <c r="BZ16" t="s">
        <v>111</v>
      </c>
      <c r="CA16" t="s">
        <v>168</v>
      </c>
      <c r="CC16" t="s">
        <v>91</v>
      </c>
      <c r="CD16">
        <v>7441</v>
      </c>
      <c r="CE16" t="s">
        <v>86</v>
      </c>
      <c r="CI16">
        <v>3</v>
      </c>
      <c r="CJ16">
        <v>1</v>
      </c>
      <c r="CK16">
        <v>42</v>
      </c>
    </row>
    <row r="17" spans="1:89" x14ac:dyDescent="0.3">
      <c r="A17" t="s">
        <v>72</v>
      </c>
      <c r="B17" t="s">
        <v>73</v>
      </c>
      <c r="C17" t="s">
        <v>74</v>
      </c>
      <c r="E17" t="str">
        <f>"009942581231"</f>
        <v>009942581231</v>
      </c>
      <c r="F17" s="3">
        <v>44831</v>
      </c>
      <c r="G17">
        <v>202306</v>
      </c>
      <c r="H17" t="s">
        <v>90</v>
      </c>
      <c r="I17" t="s">
        <v>91</v>
      </c>
      <c r="J17" t="s">
        <v>147</v>
      </c>
      <c r="L17" t="s">
        <v>90</v>
      </c>
      <c r="M17" t="s">
        <v>91</v>
      </c>
      <c r="N17" t="s">
        <v>169</v>
      </c>
      <c r="O17" t="s">
        <v>127</v>
      </c>
      <c r="P17" t="str">
        <f>"INV186719"</f>
        <v>INV186719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40.28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0.4</v>
      </c>
      <c r="BJ17">
        <v>0.9</v>
      </c>
      <c r="BK17">
        <v>1</v>
      </c>
      <c r="BL17">
        <v>110.5</v>
      </c>
      <c r="BM17">
        <v>16.579999999999998</v>
      </c>
      <c r="BN17">
        <v>127.08</v>
      </c>
      <c r="BO17">
        <v>127.08</v>
      </c>
      <c r="BQ17" t="s">
        <v>170</v>
      </c>
      <c r="BR17" t="s">
        <v>150</v>
      </c>
      <c r="BS17" s="3">
        <v>44832</v>
      </c>
      <c r="BT17" s="4">
        <v>0.62708333333333333</v>
      </c>
      <c r="BU17" t="s">
        <v>171</v>
      </c>
      <c r="BV17" t="s">
        <v>84</v>
      </c>
      <c r="BY17">
        <v>4643.1000000000004</v>
      </c>
      <c r="BZ17" t="s">
        <v>111</v>
      </c>
      <c r="CA17" t="s">
        <v>172</v>
      </c>
      <c r="CC17" t="s">
        <v>91</v>
      </c>
      <c r="CD17">
        <v>7806</v>
      </c>
      <c r="CE17" t="s">
        <v>86</v>
      </c>
      <c r="CI17">
        <v>4</v>
      </c>
      <c r="CJ17">
        <v>1</v>
      </c>
      <c r="CK17">
        <v>42</v>
      </c>
    </row>
    <row r="18" spans="1:89" x14ac:dyDescent="0.3">
      <c r="A18" t="s">
        <v>72</v>
      </c>
      <c r="B18" t="s">
        <v>73</v>
      </c>
      <c r="C18" t="s">
        <v>74</v>
      </c>
      <c r="E18" t="str">
        <f>"009942873250"</f>
        <v>009942873250</v>
      </c>
      <c r="F18" s="3">
        <v>44831</v>
      </c>
      <c r="G18">
        <v>202306</v>
      </c>
      <c r="H18" t="s">
        <v>101</v>
      </c>
      <c r="I18" t="s">
        <v>102</v>
      </c>
      <c r="J18" t="s">
        <v>173</v>
      </c>
      <c r="L18" t="s">
        <v>87</v>
      </c>
      <c r="M18" t="s">
        <v>88</v>
      </c>
      <c r="N18" t="s">
        <v>174</v>
      </c>
      <c r="O18" t="s">
        <v>81</v>
      </c>
      <c r="P18" t="str">
        <f>""</f>
        <v/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26.99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70.53</v>
      </c>
      <c r="BM18">
        <v>10.58</v>
      </c>
      <c r="BN18">
        <v>81.11</v>
      </c>
      <c r="BO18">
        <v>81.11</v>
      </c>
      <c r="BQ18" t="s">
        <v>175</v>
      </c>
      <c r="BR18" t="s">
        <v>176</v>
      </c>
      <c r="BS18" s="3">
        <v>44832</v>
      </c>
      <c r="BT18" s="4">
        <v>0.42569444444444443</v>
      </c>
      <c r="BU18" t="s">
        <v>177</v>
      </c>
      <c r="BV18" t="s">
        <v>84</v>
      </c>
      <c r="BY18">
        <v>1200</v>
      </c>
      <c r="BZ18" t="s">
        <v>116</v>
      </c>
      <c r="CC18" t="s">
        <v>88</v>
      </c>
      <c r="CD18">
        <v>1620</v>
      </c>
      <c r="CE18" t="s">
        <v>86</v>
      </c>
      <c r="CI18">
        <v>1</v>
      </c>
      <c r="CJ18">
        <v>1</v>
      </c>
      <c r="CK18">
        <v>21</v>
      </c>
    </row>
    <row r="19" spans="1:89" x14ac:dyDescent="0.3">
      <c r="A19" t="s">
        <v>72</v>
      </c>
      <c r="B19" t="s">
        <v>73</v>
      </c>
      <c r="C19" t="s">
        <v>74</v>
      </c>
      <c r="E19" t="str">
        <f>"009942835412"</f>
        <v>009942835412</v>
      </c>
      <c r="F19" s="3">
        <v>44831</v>
      </c>
      <c r="G19">
        <v>202306</v>
      </c>
      <c r="H19" t="s">
        <v>178</v>
      </c>
      <c r="I19" t="s">
        <v>179</v>
      </c>
      <c r="J19" t="s">
        <v>180</v>
      </c>
      <c r="L19" t="s">
        <v>90</v>
      </c>
      <c r="M19" t="s">
        <v>91</v>
      </c>
      <c r="N19" t="s">
        <v>181</v>
      </c>
      <c r="O19" t="s">
        <v>81</v>
      </c>
      <c r="P19" t="str">
        <f>"IREEN"</f>
        <v>IREEN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26.99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0.1</v>
      </c>
      <c r="BK19">
        <v>1</v>
      </c>
      <c r="BL19">
        <v>70.53</v>
      </c>
      <c r="BM19">
        <v>10.58</v>
      </c>
      <c r="BN19">
        <v>81.11</v>
      </c>
      <c r="BO19">
        <v>81.11</v>
      </c>
      <c r="BQ19" t="s">
        <v>182</v>
      </c>
      <c r="BR19" t="s">
        <v>183</v>
      </c>
      <c r="BS19" s="3">
        <v>44833</v>
      </c>
      <c r="BT19" s="4">
        <v>0.43611111111111112</v>
      </c>
      <c r="BU19" t="s">
        <v>184</v>
      </c>
      <c r="BV19" t="s">
        <v>97</v>
      </c>
      <c r="BY19">
        <v>600</v>
      </c>
      <c r="BZ19" t="s">
        <v>116</v>
      </c>
      <c r="CA19" t="s">
        <v>172</v>
      </c>
      <c r="CC19" t="s">
        <v>91</v>
      </c>
      <c r="CD19">
        <v>8001</v>
      </c>
      <c r="CE19" t="s">
        <v>86</v>
      </c>
      <c r="CI19">
        <v>1</v>
      </c>
      <c r="CJ19">
        <v>2</v>
      </c>
      <c r="CK19">
        <v>21</v>
      </c>
    </row>
    <row r="20" spans="1:89" x14ac:dyDescent="0.3">
      <c r="A20" t="s">
        <v>72</v>
      </c>
      <c r="B20" t="s">
        <v>73</v>
      </c>
      <c r="C20" t="s">
        <v>74</v>
      </c>
      <c r="E20" t="str">
        <f>"009942883208"</f>
        <v>009942883208</v>
      </c>
      <c r="F20" s="3">
        <v>44831</v>
      </c>
      <c r="G20">
        <v>202306</v>
      </c>
      <c r="H20" t="s">
        <v>87</v>
      </c>
      <c r="I20" t="s">
        <v>88</v>
      </c>
      <c r="J20" t="s">
        <v>89</v>
      </c>
      <c r="L20" t="s">
        <v>87</v>
      </c>
      <c r="M20" t="s">
        <v>88</v>
      </c>
      <c r="N20" t="s">
        <v>185</v>
      </c>
      <c r="O20" t="s">
        <v>81</v>
      </c>
      <c r="P20" t="str">
        <f>"J27789"</f>
        <v>J27789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21.09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1.2</v>
      </c>
      <c r="BK20">
        <v>1.5</v>
      </c>
      <c r="BL20">
        <v>55.1</v>
      </c>
      <c r="BM20">
        <v>8.27</v>
      </c>
      <c r="BN20">
        <v>63.37</v>
      </c>
      <c r="BO20">
        <v>63.37</v>
      </c>
      <c r="BQ20" t="s">
        <v>186</v>
      </c>
      <c r="BR20" t="s">
        <v>82</v>
      </c>
      <c r="BS20" s="3">
        <v>44832</v>
      </c>
      <c r="BT20" s="4">
        <v>0.29583333333333334</v>
      </c>
      <c r="BU20" t="s">
        <v>187</v>
      </c>
      <c r="BV20" t="s">
        <v>84</v>
      </c>
      <c r="BY20">
        <v>6000</v>
      </c>
      <c r="BZ20" t="s">
        <v>116</v>
      </c>
      <c r="CA20" t="s">
        <v>188</v>
      </c>
      <c r="CC20" t="s">
        <v>88</v>
      </c>
      <c r="CD20">
        <v>1619</v>
      </c>
      <c r="CE20" t="s">
        <v>86</v>
      </c>
      <c r="CI20">
        <v>1</v>
      </c>
      <c r="CJ20">
        <v>1</v>
      </c>
      <c r="CK20">
        <v>22</v>
      </c>
    </row>
    <row r="21" spans="1:89" x14ac:dyDescent="0.3">
      <c r="A21" t="s">
        <v>72</v>
      </c>
      <c r="B21" t="s">
        <v>73</v>
      </c>
      <c r="C21" t="s">
        <v>74</v>
      </c>
      <c r="E21" t="str">
        <f>"009942581232"</f>
        <v>009942581232</v>
      </c>
      <c r="F21" s="3">
        <v>44832</v>
      </c>
      <c r="G21">
        <v>202306</v>
      </c>
      <c r="H21" t="s">
        <v>90</v>
      </c>
      <c r="I21" t="s">
        <v>91</v>
      </c>
      <c r="J21" t="s">
        <v>147</v>
      </c>
      <c r="L21" t="s">
        <v>189</v>
      </c>
      <c r="M21" t="s">
        <v>190</v>
      </c>
      <c r="N21" t="s">
        <v>148</v>
      </c>
      <c r="O21" t="s">
        <v>127</v>
      </c>
      <c r="P21" t="str">
        <f>"INV9131"</f>
        <v>INV9131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73.63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1.6</v>
      </c>
      <c r="BJ21">
        <v>4.5999999999999996</v>
      </c>
      <c r="BK21">
        <v>5</v>
      </c>
      <c r="BL21">
        <v>197.63</v>
      </c>
      <c r="BM21">
        <v>29.64</v>
      </c>
      <c r="BN21">
        <v>227.27</v>
      </c>
      <c r="BO21">
        <v>227.27</v>
      </c>
      <c r="BQ21" t="s">
        <v>191</v>
      </c>
      <c r="BR21" t="s">
        <v>150</v>
      </c>
      <c r="BS21" s="3">
        <v>44834</v>
      </c>
      <c r="BT21" s="4">
        <v>0.42291666666666666</v>
      </c>
      <c r="BU21" t="s">
        <v>192</v>
      </c>
      <c r="BV21" t="s">
        <v>84</v>
      </c>
      <c r="BY21">
        <v>23143.119999999999</v>
      </c>
      <c r="BZ21" t="s">
        <v>111</v>
      </c>
      <c r="CA21" t="s">
        <v>193</v>
      </c>
      <c r="CC21" t="s">
        <v>190</v>
      </c>
      <c r="CD21">
        <v>216</v>
      </c>
      <c r="CE21" t="s">
        <v>86</v>
      </c>
      <c r="CI21">
        <v>4</v>
      </c>
      <c r="CJ21">
        <v>2</v>
      </c>
      <c r="CK21">
        <v>43</v>
      </c>
    </row>
    <row r="22" spans="1:89" x14ac:dyDescent="0.3">
      <c r="A22" t="s">
        <v>72</v>
      </c>
      <c r="B22" t="s">
        <v>73</v>
      </c>
      <c r="C22" t="s">
        <v>74</v>
      </c>
      <c r="E22" t="str">
        <f>"009942581238"</f>
        <v>009942581238</v>
      </c>
      <c r="F22" s="3">
        <v>44832</v>
      </c>
      <c r="G22">
        <v>202306</v>
      </c>
      <c r="H22" t="s">
        <v>90</v>
      </c>
      <c r="I22" t="s">
        <v>91</v>
      </c>
      <c r="J22" t="s">
        <v>147</v>
      </c>
      <c r="L22" t="s">
        <v>194</v>
      </c>
      <c r="M22" t="s">
        <v>195</v>
      </c>
      <c r="N22" t="s">
        <v>148</v>
      </c>
      <c r="O22" t="s">
        <v>127</v>
      </c>
      <c r="P22" t="str">
        <f>"INV186761"</f>
        <v>INV186761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52.2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0.4</v>
      </c>
      <c r="BJ22">
        <v>0.8</v>
      </c>
      <c r="BK22">
        <v>1</v>
      </c>
      <c r="BL22">
        <v>141.65</v>
      </c>
      <c r="BM22">
        <v>21.25</v>
      </c>
      <c r="BN22">
        <v>162.9</v>
      </c>
      <c r="BO22">
        <v>162.9</v>
      </c>
      <c r="BQ22" t="s">
        <v>196</v>
      </c>
      <c r="BR22" t="s">
        <v>150</v>
      </c>
      <c r="BS22" t="s">
        <v>197</v>
      </c>
      <c r="BY22">
        <v>4009.73</v>
      </c>
      <c r="BZ22" t="s">
        <v>111</v>
      </c>
      <c r="CC22" t="s">
        <v>195</v>
      </c>
      <c r="CD22">
        <v>9301</v>
      </c>
      <c r="CE22" t="s">
        <v>86</v>
      </c>
      <c r="CI22">
        <v>3</v>
      </c>
      <c r="CJ22" t="s">
        <v>197</v>
      </c>
      <c r="CK22">
        <v>41</v>
      </c>
    </row>
    <row r="23" spans="1:89" x14ac:dyDescent="0.3">
      <c r="A23" t="s">
        <v>72</v>
      </c>
      <c r="B23" t="s">
        <v>73</v>
      </c>
      <c r="C23" t="s">
        <v>74</v>
      </c>
      <c r="E23" t="str">
        <f>"009942581235"</f>
        <v>009942581235</v>
      </c>
      <c r="F23" s="3">
        <v>44832</v>
      </c>
      <c r="G23">
        <v>202306</v>
      </c>
      <c r="H23" t="s">
        <v>90</v>
      </c>
      <c r="I23" t="s">
        <v>91</v>
      </c>
      <c r="J23" t="s">
        <v>147</v>
      </c>
      <c r="L23" t="s">
        <v>178</v>
      </c>
      <c r="M23" t="s">
        <v>179</v>
      </c>
      <c r="N23" t="s">
        <v>198</v>
      </c>
      <c r="O23" t="s">
        <v>127</v>
      </c>
      <c r="P23" t="str">
        <f>"INV186730"</f>
        <v>INV186730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52.2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0.2</v>
      </c>
      <c r="BJ23">
        <v>0.5</v>
      </c>
      <c r="BK23">
        <v>1</v>
      </c>
      <c r="BL23">
        <v>141.65</v>
      </c>
      <c r="BM23">
        <v>21.25</v>
      </c>
      <c r="BN23">
        <v>162.9</v>
      </c>
      <c r="BO23">
        <v>162.9</v>
      </c>
      <c r="BQ23" t="s">
        <v>199</v>
      </c>
      <c r="BR23" t="s">
        <v>150</v>
      </c>
      <c r="BS23" t="s">
        <v>197</v>
      </c>
      <c r="BY23">
        <v>2655.25</v>
      </c>
      <c r="BZ23" t="s">
        <v>111</v>
      </c>
      <c r="CC23" t="s">
        <v>179</v>
      </c>
      <c r="CD23">
        <v>4051</v>
      </c>
      <c r="CE23" t="s">
        <v>86</v>
      </c>
      <c r="CI23">
        <v>3</v>
      </c>
      <c r="CJ23" t="s">
        <v>197</v>
      </c>
      <c r="CK23">
        <v>41</v>
      </c>
    </row>
    <row r="24" spans="1:89" x14ac:dyDescent="0.3">
      <c r="A24" t="s">
        <v>72</v>
      </c>
      <c r="B24" t="s">
        <v>73</v>
      </c>
      <c r="C24" t="s">
        <v>74</v>
      </c>
      <c r="E24" t="str">
        <f>"009942581233"</f>
        <v>009942581233</v>
      </c>
      <c r="F24" s="3">
        <v>44832</v>
      </c>
      <c r="G24">
        <v>202306</v>
      </c>
      <c r="H24" t="s">
        <v>90</v>
      </c>
      <c r="I24" t="s">
        <v>91</v>
      </c>
      <c r="J24" t="s">
        <v>147</v>
      </c>
      <c r="L24" t="s">
        <v>75</v>
      </c>
      <c r="M24" t="s">
        <v>76</v>
      </c>
      <c r="N24" t="s">
        <v>148</v>
      </c>
      <c r="O24" t="s">
        <v>127</v>
      </c>
      <c r="P24" t="str">
        <f>"INV186728"</f>
        <v>INV186728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52.2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2.2000000000000002</v>
      </c>
      <c r="BJ24">
        <v>9.6999999999999993</v>
      </c>
      <c r="BK24">
        <v>10</v>
      </c>
      <c r="BL24">
        <v>141.65</v>
      </c>
      <c r="BM24">
        <v>21.25</v>
      </c>
      <c r="BN24">
        <v>162.9</v>
      </c>
      <c r="BO24">
        <v>162.9</v>
      </c>
      <c r="BQ24" t="s">
        <v>200</v>
      </c>
      <c r="BR24" t="s">
        <v>150</v>
      </c>
      <c r="BS24" t="s">
        <v>197</v>
      </c>
      <c r="BY24">
        <v>48557.599999999999</v>
      </c>
      <c r="BZ24" t="s">
        <v>111</v>
      </c>
      <c r="CC24" t="s">
        <v>76</v>
      </c>
      <c r="CD24">
        <v>2021</v>
      </c>
      <c r="CE24" t="s">
        <v>86</v>
      </c>
      <c r="CI24">
        <v>3</v>
      </c>
      <c r="CJ24" t="s">
        <v>197</v>
      </c>
      <c r="CK24">
        <v>41</v>
      </c>
    </row>
    <row r="25" spans="1:89" x14ac:dyDescent="0.3">
      <c r="A25" t="s">
        <v>72</v>
      </c>
      <c r="B25" t="s">
        <v>73</v>
      </c>
      <c r="C25" t="s">
        <v>74</v>
      </c>
      <c r="E25" t="str">
        <f>"009942581237"</f>
        <v>009942581237</v>
      </c>
      <c r="F25" s="3">
        <v>44832</v>
      </c>
      <c r="G25">
        <v>202306</v>
      </c>
      <c r="H25" t="s">
        <v>90</v>
      </c>
      <c r="I25" t="s">
        <v>91</v>
      </c>
      <c r="J25" t="s">
        <v>147</v>
      </c>
      <c r="L25" t="s">
        <v>201</v>
      </c>
      <c r="M25" t="s">
        <v>202</v>
      </c>
      <c r="N25" t="s">
        <v>148</v>
      </c>
      <c r="O25" t="s">
        <v>127</v>
      </c>
      <c r="P25" t="str">
        <f>"INV186745"</f>
        <v>INV186745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57.65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15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0.3</v>
      </c>
      <c r="BJ25">
        <v>0.6</v>
      </c>
      <c r="BK25">
        <v>1</v>
      </c>
      <c r="BL25">
        <v>170.89</v>
      </c>
      <c r="BM25">
        <v>25.63</v>
      </c>
      <c r="BN25">
        <v>196.52</v>
      </c>
      <c r="BO25">
        <v>196.52</v>
      </c>
      <c r="BQ25" t="s">
        <v>203</v>
      </c>
      <c r="BR25" t="s">
        <v>150</v>
      </c>
      <c r="BS25" s="3">
        <v>44833</v>
      </c>
      <c r="BT25" s="4">
        <v>0.69513888888888886</v>
      </c>
      <c r="BU25" t="s">
        <v>204</v>
      </c>
      <c r="BV25" t="s">
        <v>84</v>
      </c>
      <c r="BY25">
        <v>3083.08</v>
      </c>
      <c r="BZ25" t="s">
        <v>205</v>
      </c>
      <c r="CA25" t="s">
        <v>206</v>
      </c>
      <c r="CC25" t="s">
        <v>202</v>
      </c>
      <c r="CD25">
        <v>7100</v>
      </c>
      <c r="CE25" t="s">
        <v>86</v>
      </c>
      <c r="CI25">
        <v>4</v>
      </c>
      <c r="CJ25">
        <v>1</v>
      </c>
      <c r="CK25">
        <v>44</v>
      </c>
    </row>
    <row r="26" spans="1:89" x14ac:dyDescent="0.3">
      <c r="A26" t="s">
        <v>72</v>
      </c>
      <c r="B26" t="s">
        <v>73</v>
      </c>
      <c r="C26" t="s">
        <v>74</v>
      </c>
      <c r="E26" t="str">
        <f>"009942581234"</f>
        <v>009942581234</v>
      </c>
      <c r="F26" s="3">
        <v>44832</v>
      </c>
      <c r="G26">
        <v>202306</v>
      </c>
      <c r="H26" t="s">
        <v>90</v>
      </c>
      <c r="I26" t="s">
        <v>91</v>
      </c>
      <c r="J26" t="s">
        <v>147</v>
      </c>
      <c r="L26" t="s">
        <v>207</v>
      </c>
      <c r="M26" t="s">
        <v>208</v>
      </c>
      <c r="N26" t="s">
        <v>148</v>
      </c>
      <c r="O26" t="s">
        <v>127</v>
      </c>
      <c r="P26" t="str">
        <f>"INV186729"</f>
        <v>INV186729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52.2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3.1</v>
      </c>
      <c r="BJ26">
        <v>14.6</v>
      </c>
      <c r="BK26">
        <v>15</v>
      </c>
      <c r="BL26">
        <v>141.65</v>
      </c>
      <c r="BM26">
        <v>21.25</v>
      </c>
      <c r="BN26">
        <v>162.9</v>
      </c>
      <c r="BO26">
        <v>162.9</v>
      </c>
      <c r="BQ26" t="s">
        <v>209</v>
      </c>
      <c r="BR26" t="s">
        <v>150</v>
      </c>
      <c r="BS26" t="s">
        <v>197</v>
      </c>
      <c r="BY26">
        <v>73095.75</v>
      </c>
      <c r="BZ26" t="s">
        <v>111</v>
      </c>
      <c r="CC26" t="s">
        <v>208</v>
      </c>
      <c r="CD26">
        <v>2194</v>
      </c>
      <c r="CE26" t="s">
        <v>86</v>
      </c>
      <c r="CI26">
        <v>3</v>
      </c>
      <c r="CJ26" t="s">
        <v>197</v>
      </c>
      <c r="CK26">
        <v>41</v>
      </c>
    </row>
    <row r="27" spans="1:89" x14ac:dyDescent="0.3">
      <c r="A27" t="s">
        <v>72</v>
      </c>
      <c r="B27" t="s">
        <v>73</v>
      </c>
      <c r="C27" t="s">
        <v>74</v>
      </c>
      <c r="E27" t="str">
        <f>"009942581236"</f>
        <v>009942581236</v>
      </c>
      <c r="F27" s="3">
        <v>44832</v>
      </c>
      <c r="G27">
        <v>202306</v>
      </c>
      <c r="H27" t="s">
        <v>90</v>
      </c>
      <c r="I27" t="s">
        <v>91</v>
      </c>
      <c r="J27" t="s">
        <v>147</v>
      </c>
      <c r="L27" t="s">
        <v>90</v>
      </c>
      <c r="M27" t="s">
        <v>91</v>
      </c>
      <c r="N27" t="s">
        <v>148</v>
      </c>
      <c r="O27" t="s">
        <v>127</v>
      </c>
      <c r="P27" t="str">
        <f>"INV186746"</f>
        <v>INV186746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40.28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0.6</v>
      </c>
      <c r="BJ27">
        <v>2.2999999999999998</v>
      </c>
      <c r="BK27">
        <v>3</v>
      </c>
      <c r="BL27">
        <v>110.5</v>
      </c>
      <c r="BM27">
        <v>16.579999999999998</v>
      </c>
      <c r="BN27">
        <v>127.08</v>
      </c>
      <c r="BO27">
        <v>127.08</v>
      </c>
      <c r="BQ27" t="s">
        <v>210</v>
      </c>
      <c r="BR27" t="s">
        <v>150</v>
      </c>
      <c r="BS27" s="3">
        <v>44833</v>
      </c>
      <c r="BT27" s="4">
        <v>0.44791666666666669</v>
      </c>
      <c r="BU27" t="s">
        <v>211</v>
      </c>
      <c r="BV27" t="s">
        <v>84</v>
      </c>
      <c r="BY27">
        <v>11468.34</v>
      </c>
      <c r="BZ27" t="s">
        <v>111</v>
      </c>
      <c r="CA27" t="s">
        <v>165</v>
      </c>
      <c r="CC27" t="s">
        <v>91</v>
      </c>
      <c r="CD27">
        <v>8005</v>
      </c>
      <c r="CE27" t="s">
        <v>86</v>
      </c>
      <c r="CI27">
        <v>3</v>
      </c>
      <c r="CJ27">
        <v>1</v>
      </c>
      <c r="CK27">
        <v>42</v>
      </c>
    </row>
    <row r="28" spans="1:89" x14ac:dyDescent="0.3">
      <c r="A28" t="s">
        <v>72</v>
      </c>
      <c r="B28" t="s">
        <v>73</v>
      </c>
      <c r="C28" t="s">
        <v>74</v>
      </c>
      <c r="E28" t="str">
        <f>"009942883204"</f>
        <v>009942883204</v>
      </c>
      <c r="F28" s="3">
        <v>44832</v>
      </c>
      <c r="G28">
        <v>202306</v>
      </c>
      <c r="H28" t="s">
        <v>87</v>
      </c>
      <c r="I28" t="s">
        <v>88</v>
      </c>
      <c r="J28" t="s">
        <v>89</v>
      </c>
      <c r="L28" t="s">
        <v>75</v>
      </c>
      <c r="M28" t="s">
        <v>76</v>
      </c>
      <c r="N28" t="s">
        <v>212</v>
      </c>
      <c r="O28" t="s">
        <v>81</v>
      </c>
      <c r="P28" t="str">
        <f>"J27252"</f>
        <v>J27252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21.09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2.8</v>
      </c>
      <c r="BJ28">
        <v>2.2000000000000002</v>
      </c>
      <c r="BK28">
        <v>3</v>
      </c>
      <c r="BL28">
        <v>55.1</v>
      </c>
      <c r="BM28">
        <v>8.27</v>
      </c>
      <c r="BN28">
        <v>63.37</v>
      </c>
      <c r="BO28">
        <v>63.37</v>
      </c>
      <c r="BQ28" t="s">
        <v>213</v>
      </c>
      <c r="BR28" t="s">
        <v>82</v>
      </c>
      <c r="BS28" s="3">
        <v>44833</v>
      </c>
      <c r="BT28" s="4">
        <v>0.34236111111111112</v>
      </c>
      <c r="BU28" t="s">
        <v>214</v>
      </c>
      <c r="BV28" t="s">
        <v>84</v>
      </c>
      <c r="BY28">
        <v>10962.64</v>
      </c>
      <c r="BZ28" t="s">
        <v>116</v>
      </c>
      <c r="CA28" t="s">
        <v>215</v>
      </c>
      <c r="CC28" t="s">
        <v>76</v>
      </c>
      <c r="CD28">
        <v>2094</v>
      </c>
      <c r="CE28" t="s">
        <v>86</v>
      </c>
      <c r="CI28">
        <v>1</v>
      </c>
      <c r="CJ28">
        <v>1</v>
      </c>
      <c r="CK28">
        <v>22</v>
      </c>
    </row>
    <row r="29" spans="1:89" x14ac:dyDescent="0.3">
      <c r="A29" t="s">
        <v>72</v>
      </c>
      <c r="B29" t="s">
        <v>73</v>
      </c>
      <c r="C29" t="s">
        <v>74</v>
      </c>
      <c r="E29" t="str">
        <f>"009942883197"</f>
        <v>009942883197</v>
      </c>
      <c r="F29" s="3">
        <v>44832</v>
      </c>
      <c r="G29">
        <v>202306</v>
      </c>
      <c r="H29" t="s">
        <v>87</v>
      </c>
      <c r="I29" t="s">
        <v>88</v>
      </c>
      <c r="J29" t="s">
        <v>89</v>
      </c>
      <c r="L29" t="s">
        <v>207</v>
      </c>
      <c r="M29" t="s">
        <v>208</v>
      </c>
      <c r="N29" t="s">
        <v>216</v>
      </c>
      <c r="O29" t="s">
        <v>81</v>
      </c>
      <c r="P29" t="str">
        <f>"J27928"</f>
        <v>J27928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109.62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7</v>
      </c>
      <c r="BJ29">
        <v>25.2</v>
      </c>
      <c r="BK29">
        <v>25.5</v>
      </c>
      <c r="BL29">
        <v>286.43</v>
      </c>
      <c r="BM29">
        <v>42.96</v>
      </c>
      <c r="BN29">
        <v>329.39</v>
      </c>
      <c r="BO29">
        <v>329.39</v>
      </c>
      <c r="BQ29" t="s">
        <v>217</v>
      </c>
      <c r="BR29" t="s">
        <v>82</v>
      </c>
      <c r="BS29" s="3">
        <v>44833</v>
      </c>
      <c r="BT29" s="4">
        <v>0.4201388888888889</v>
      </c>
      <c r="BU29" t="s">
        <v>218</v>
      </c>
      <c r="BV29" t="s">
        <v>84</v>
      </c>
      <c r="BY29">
        <v>126000</v>
      </c>
      <c r="BZ29" t="s">
        <v>116</v>
      </c>
      <c r="CA29" t="s">
        <v>219</v>
      </c>
      <c r="CC29" t="s">
        <v>208</v>
      </c>
      <c r="CD29">
        <v>2162</v>
      </c>
      <c r="CE29" t="s">
        <v>86</v>
      </c>
      <c r="CI29">
        <v>1</v>
      </c>
      <c r="CJ29">
        <v>1</v>
      </c>
      <c r="CK29">
        <v>22</v>
      </c>
    </row>
    <row r="30" spans="1:89" x14ac:dyDescent="0.3">
      <c r="A30" t="s">
        <v>72</v>
      </c>
      <c r="B30" t="s">
        <v>73</v>
      </c>
      <c r="C30" t="s">
        <v>74</v>
      </c>
      <c r="E30" t="str">
        <f>"009942883195"</f>
        <v>009942883195</v>
      </c>
      <c r="F30" s="3">
        <v>44832</v>
      </c>
      <c r="G30">
        <v>202306</v>
      </c>
      <c r="H30" t="s">
        <v>87</v>
      </c>
      <c r="I30" t="s">
        <v>88</v>
      </c>
      <c r="J30" t="s">
        <v>89</v>
      </c>
      <c r="L30" t="s">
        <v>220</v>
      </c>
      <c r="M30" t="s">
        <v>221</v>
      </c>
      <c r="N30" t="s">
        <v>222</v>
      </c>
      <c r="O30" t="s">
        <v>81</v>
      </c>
      <c r="P30" t="str">
        <f>"J27711"</f>
        <v>J27711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21.09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0.7</v>
      </c>
      <c r="BJ30">
        <v>0.4</v>
      </c>
      <c r="BK30">
        <v>1</v>
      </c>
      <c r="BL30">
        <v>55.1</v>
      </c>
      <c r="BM30">
        <v>8.27</v>
      </c>
      <c r="BN30">
        <v>63.37</v>
      </c>
      <c r="BO30">
        <v>63.37</v>
      </c>
      <c r="BQ30" t="s">
        <v>223</v>
      </c>
      <c r="BR30" t="s">
        <v>82</v>
      </c>
      <c r="BS30" s="3">
        <v>44833</v>
      </c>
      <c r="BT30" s="4">
        <v>0.41875000000000001</v>
      </c>
      <c r="BU30" t="s">
        <v>224</v>
      </c>
      <c r="BV30" t="s">
        <v>84</v>
      </c>
      <c r="BY30">
        <v>1935.95</v>
      </c>
      <c r="BZ30" t="s">
        <v>116</v>
      </c>
      <c r="CA30" t="s">
        <v>225</v>
      </c>
      <c r="CC30" t="s">
        <v>221</v>
      </c>
      <c r="CD30">
        <v>1422</v>
      </c>
      <c r="CE30" t="s">
        <v>86</v>
      </c>
      <c r="CI30">
        <v>1</v>
      </c>
      <c r="CJ30">
        <v>1</v>
      </c>
      <c r="CK30">
        <v>22</v>
      </c>
    </row>
    <row r="31" spans="1:89" x14ac:dyDescent="0.3">
      <c r="A31" t="s">
        <v>72</v>
      </c>
      <c r="B31" t="s">
        <v>73</v>
      </c>
      <c r="C31" t="s">
        <v>74</v>
      </c>
      <c r="E31" t="str">
        <f>"009942883205"</f>
        <v>009942883205</v>
      </c>
      <c r="F31" s="3">
        <v>44832</v>
      </c>
      <c r="G31">
        <v>202306</v>
      </c>
      <c r="H31" t="s">
        <v>87</v>
      </c>
      <c r="I31" t="s">
        <v>88</v>
      </c>
      <c r="J31" t="s">
        <v>89</v>
      </c>
      <c r="L31" t="s">
        <v>226</v>
      </c>
      <c r="M31" t="s">
        <v>227</v>
      </c>
      <c r="N31" t="s">
        <v>228</v>
      </c>
      <c r="O31" t="s">
        <v>81</v>
      </c>
      <c r="P31" t="str">
        <f>"J27714"</f>
        <v>J27714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21.09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0.9</v>
      </c>
      <c r="BJ31">
        <v>2.1</v>
      </c>
      <c r="BK31">
        <v>2.5</v>
      </c>
      <c r="BL31">
        <v>55.1</v>
      </c>
      <c r="BM31">
        <v>8.27</v>
      </c>
      <c r="BN31">
        <v>63.37</v>
      </c>
      <c r="BO31">
        <v>63.37</v>
      </c>
      <c r="BQ31" t="s">
        <v>82</v>
      </c>
      <c r="BR31" t="s">
        <v>82</v>
      </c>
      <c r="BS31" s="3">
        <v>44833</v>
      </c>
      <c r="BT31" s="4">
        <v>0.40833333333333338</v>
      </c>
      <c r="BU31" t="s">
        <v>229</v>
      </c>
      <c r="BV31" t="s">
        <v>84</v>
      </c>
      <c r="BY31">
        <v>10452.469999999999</v>
      </c>
      <c r="BZ31" t="s">
        <v>116</v>
      </c>
      <c r="CA31" t="s">
        <v>230</v>
      </c>
      <c r="CC31" t="s">
        <v>227</v>
      </c>
      <c r="CD31">
        <v>1459</v>
      </c>
      <c r="CE31" t="s">
        <v>86</v>
      </c>
      <c r="CI31">
        <v>1</v>
      </c>
      <c r="CJ31">
        <v>1</v>
      </c>
      <c r="CK31">
        <v>22</v>
      </c>
    </row>
    <row r="32" spans="1:89" x14ac:dyDescent="0.3">
      <c r="A32" t="s">
        <v>72</v>
      </c>
      <c r="B32" t="s">
        <v>73</v>
      </c>
      <c r="C32" t="s">
        <v>74</v>
      </c>
      <c r="E32" t="str">
        <f>"009942883200"</f>
        <v>009942883200</v>
      </c>
      <c r="F32" s="3">
        <v>44832</v>
      </c>
      <c r="G32">
        <v>202306</v>
      </c>
      <c r="H32" t="s">
        <v>87</v>
      </c>
      <c r="I32" t="s">
        <v>88</v>
      </c>
      <c r="J32" t="s">
        <v>89</v>
      </c>
      <c r="L32" t="s">
        <v>231</v>
      </c>
      <c r="M32" t="s">
        <v>232</v>
      </c>
      <c r="N32" t="s">
        <v>233</v>
      </c>
      <c r="O32" t="s">
        <v>81</v>
      </c>
      <c r="P32" t="str">
        <f>"C21556"</f>
        <v>C21556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123.17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4.7</v>
      </c>
      <c r="BJ32">
        <v>1.2</v>
      </c>
      <c r="BK32">
        <v>5</v>
      </c>
      <c r="BL32">
        <v>321.83</v>
      </c>
      <c r="BM32">
        <v>48.27</v>
      </c>
      <c r="BN32">
        <v>370.1</v>
      </c>
      <c r="BO32">
        <v>370.1</v>
      </c>
      <c r="BQ32" t="s">
        <v>234</v>
      </c>
      <c r="BR32" t="s">
        <v>82</v>
      </c>
      <c r="BS32" s="3">
        <v>44833</v>
      </c>
      <c r="BT32" s="4">
        <v>0.64444444444444449</v>
      </c>
      <c r="BU32" t="s">
        <v>235</v>
      </c>
      <c r="BV32" t="s">
        <v>97</v>
      </c>
      <c r="BY32">
        <v>6095.52</v>
      </c>
      <c r="BZ32" t="s">
        <v>116</v>
      </c>
      <c r="CA32" t="s">
        <v>236</v>
      </c>
      <c r="CC32" t="s">
        <v>232</v>
      </c>
      <c r="CD32">
        <v>7129</v>
      </c>
      <c r="CE32" t="s">
        <v>86</v>
      </c>
      <c r="CI32">
        <v>1</v>
      </c>
      <c r="CJ32">
        <v>1</v>
      </c>
      <c r="CK32">
        <v>23</v>
      </c>
    </row>
    <row r="33" spans="1:89" x14ac:dyDescent="0.3">
      <c r="A33" t="s">
        <v>72</v>
      </c>
      <c r="B33" t="s">
        <v>73</v>
      </c>
      <c r="C33" t="s">
        <v>74</v>
      </c>
      <c r="E33" t="str">
        <f>"009942883202"</f>
        <v>009942883202</v>
      </c>
      <c r="F33" s="3">
        <v>44832</v>
      </c>
      <c r="G33">
        <v>202306</v>
      </c>
      <c r="H33" t="s">
        <v>87</v>
      </c>
      <c r="I33" t="s">
        <v>88</v>
      </c>
      <c r="J33" t="s">
        <v>89</v>
      </c>
      <c r="L33" t="s">
        <v>237</v>
      </c>
      <c r="M33" t="s">
        <v>238</v>
      </c>
      <c r="N33" t="s">
        <v>239</v>
      </c>
      <c r="O33" t="s">
        <v>81</v>
      </c>
      <c r="P33" t="str">
        <f>"J27683"</f>
        <v>J27683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21.09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1.1000000000000001</v>
      </c>
      <c r="BJ33">
        <v>0.3</v>
      </c>
      <c r="BK33">
        <v>1.5</v>
      </c>
      <c r="BL33">
        <v>55.1</v>
      </c>
      <c r="BM33">
        <v>8.27</v>
      </c>
      <c r="BN33">
        <v>63.37</v>
      </c>
      <c r="BO33">
        <v>63.37</v>
      </c>
      <c r="BQ33" t="s">
        <v>240</v>
      </c>
      <c r="BR33" t="s">
        <v>82</v>
      </c>
      <c r="BS33" s="3">
        <v>44833</v>
      </c>
      <c r="BT33" s="4">
        <v>0.35555555555555557</v>
      </c>
      <c r="BU33" t="s">
        <v>241</v>
      </c>
      <c r="BV33" t="s">
        <v>84</v>
      </c>
      <c r="BY33">
        <v>1654.24</v>
      </c>
      <c r="BZ33" t="s">
        <v>116</v>
      </c>
      <c r="CA33" t="s">
        <v>242</v>
      </c>
      <c r="CC33" t="s">
        <v>238</v>
      </c>
      <c r="CD33">
        <v>1709</v>
      </c>
      <c r="CE33" t="s">
        <v>86</v>
      </c>
      <c r="CI33">
        <v>1</v>
      </c>
      <c r="CJ33">
        <v>1</v>
      </c>
      <c r="CK33">
        <v>22</v>
      </c>
    </row>
    <row r="34" spans="1:89" x14ac:dyDescent="0.3">
      <c r="A34" t="s">
        <v>72</v>
      </c>
      <c r="B34" t="s">
        <v>73</v>
      </c>
      <c r="C34" t="s">
        <v>74</v>
      </c>
      <c r="E34" t="str">
        <f>"009942883199"</f>
        <v>009942883199</v>
      </c>
      <c r="F34" s="3">
        <v>44832</v>
      </c>
      <c r="G34">
        <v>202306</v>
      </c>
      <c r="H34" t="s">
        <v>87</v>
      </c>
      <c r="I34" t="s">
        <v>88</v>
      </c>
      <c r="J34" t="s">
        <v>89</v>
      </c>
      <c r="L34" t="s">
        <v>118</v>
      </c>
      <c r="M34" t="s">
        <v>119</v>
      </c>
      <c r="N34" t="s">
        <v>243</v>
      </c>
      <c r="O34" t="s">
        <v>81</v>
      </c>
      <c r="P34" t="str">
        <f>"J27885"</f>
        <v>J27885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67.47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4.8</v>
      </c>
      <c r="BK34">
        <v>5</v>
      </c>
      <c r="BL34">
        <v>176.29</v>
      </c>
      <c r="BM34">
        <v>26.44</v>
      </c>
      <c r="BN34">
        <v>202.73</v>
      </c>
      <c r="BO34">
        <v>202.73</v>
      </c>
      <c r="BQ34" t="s">
        <v>121</v>
      </c>
      <c r="BR34" t="s">
        <v>82</v>
      </c>
      <c r="BS34" s="3">
        <v>44833</v>
      </c>
      <c r="BT34" s="4">
        <v>0.3888888888888889</v>
      </c>
      <c r="BU34" t="s">
        <v>122</v>
      </c>
      <c r="BV34" t="s">
        <v>84</v>
      </c>
      <c r="BY34">
        <v>24000</v>
      </c>
      <c r="BZ34" t="s">
        <v>116</v>
      </c>
      <c r="CA34" t="s">
        <v>123</v>
      </c>
      <c r="CC34" t="s">
        <v>119</v>
      </c>
      <c r="CD34">
        <v>127</v>
      </c>
      <c r="CE34" t="s">
        <v>86</v>
      </c>
      <c r="CI34">
        <v>1</v>
      </c>
      <c r="CJ34">
        <v>1</v>
      </c>
      <c r="CK34">
        <v>21</v>
      </c>
    </row>
    <row r="35" spans="1:89" x14ac:dyDescent="0.3">
      <c r="A35" t="s">
        <v>72</v>
      </c>
      <c r="B35" t="s">
        <v>73</v>
      </c>
      <c r="C35" t="s">
        <v>74</v>
      </c>
      <c r="E35" t="str">
        <f>"009942883194"</f>
        <v>009942883194</v>
      </c>
      <c r="F35" s="3">
        <v>44832</v>
      </c>
      <c r="G35">
        <v>202306</v>
      </c>
      <c r="H35" t="s">
        <v>87</v>
      </c>
      <c r="I35" t="s">
        <v>88</v>
      </c>
      <c r="J35" t="s">
        <v>89</v>
      </c>
      <c r="L35" t="s">
        <v>220</v>
      </c>
      <c r="M35" t="s">
        <v>221</v>
      </c>
      <c r="N35" t="s">
        <v>244</v>
      </c>
      <c r="O35" t="s">
        <v>81</v>
      </c>
      <c r="P35" t="str">
        <f>"J27944"</f>
        <v>J27944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21.09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0.2</v>
      </c>
      <c r="BJ35">
        <v>0.4</v>
      </c>
      <c r="BK35">
        <v>0.5</v>
      </c>
      <c r="BL35">
        <v>55.1</v>
      </c>
      <c r="BM35">
        <v>8.27</v>
      </c>
      <c r="BN35">
        <v>63.37</v>
      </c>
      <c r="BO35">
        <v>63.37</v>
      </c>
      <c r="BQ35" t="s">
        <v>82</v>
      </c>
      <c r="BR35" t="s">
        <v>82</v>
      </c>
      <c r="BS35" t="s">
        <v>197</v>
      </c>
      <c r="BY35">
        <v>2106.83</v>
      </c>
      <c r="BZ35" t="s">
        <v>116</v>
      </c>
      <c r="CC35" t="s">
        <v>221</v>
      </c>
      <c r="CD35">
        <v>1422</v>
      </c>
      <c r="CE35" t="s">
        <v>86</v>
      </c>
      <c r="CI35">
        <v>1</v>
      </c>
      <c r="CJ35" t="s">
        <v>197</v>
      </c>
      <c r="CK35">
        <v>22</v>
      </c>
    </row>
    <row r="36" spans="1:89" x14ac:dyDescent="0.3">
      <c r="A36" t="s">
        <v>72</v>
      </c>
      <c r="B36" t="s">
        <v>73</v>
      </c>
      <c r="C36" t="s">
        <v>74</v>
      </c>
      <c r="E36" t="str">
        <f>"009942883196"</f>
        <v>009942883196</v>
      </c>
      <c r="F36" s="3">
        <v>44832</v>
      </c>
      <c r="G36">
        <v>202306</v>
      </c>
      <c r="H36" t="s">
        <v>87</v>
      </c>
      <c r="I36" t="s">
        <v>88</v>
      </c>
      <c r="J36" t="s">
        <v>89</v>
      </c>
      <c r="L36" t="s">
        <v>90</v>
      </c>
      <c r="M36" t="s">
        <v>91</v>
      </c>
      <c r="N36" t="s">
        <v>245</v>
      </c>
      <c r="O36" t="s">
        <v>81</v>
      </c>
      <c r="P36" t="str">
        <f>"C21559"</f>
        <v>C21559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40.49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2.7</v>
      </c>
      <c r="BJ36">
        <v>1</v>
      </c>
      <c r="BK36">
        <v>3</v>
      </c>
      <c r="BL36">
        <v>105.79</v>
      </c>
      <c r="BM36">
        <v>15.87</v>
      </c>
      <c r="BN36">
        <v>121.66</v>
      </c>
      <c r="BO36">
        <v>121.66</v>
      </c>
      <c r="BQ36" t="s">
        <v>246</v>
      </c>
      <c r="BR36" t="s">
        <v>82</v>
      </c>
      <c r="BS36" s="3">
        <v>44833</v>
      </c>
      <c r="BT36" s="4">
        <v>0.36041666666666666</v>
      </c>
      <c r="BU36" t="s">
        <v>247</v>
      </c>
      <c r="BV36" t="s">
        <v>84</v>
      </c>
      <c r="BY36">
        <v>5158.3999999999996</v>
      </c>
      <c r="BZ36" t="s">
        <v>116</v>
      </c>
      <c r="CA36" t="s">
        <v>152</v>
      </c>
      <c r="CC36" t="s">
        <v>91</v>
      </c>
      <c r="CD36">
        <v>7800</v>
      </c>
      <c r="CE36" t="s">
        <v>86</v>
      </c>
      <c r="CI36">
        <v>1</v>
      </c>
      <c r="CJ36">
        <v>1</v>
      </c>
      <c r="CK36">
        <v>21</v>
      </c>
    </row>
    <row r="37" spans="1:89" x14ac:dyDescent="0.3">
      <c r="A37" t="s">
        <v>72</v>
      </c>
      <c r="B37" t="s">
        <v>73</v>
      </c>
      <c r="C37" t="s">
        <v>74</v>
      </c>
      <c r="E37" t="str">
        <f>"009942883201"</f>
        <v>009942883201</v>
      </c>
      <c r="F37" s="3">
        <v>44832</v>
      </c>
      <c r="G37">
        <v>202306</v>
      </c>
      <c r="H37" t="s">
        <v>87</v>
      </c>
      <c r="I37" t="s">
        <v>88</v>
      </c>
      <c r="J37" t="s">
        <v>89</v>
      </c>
      <c r="L37" t="s">
        <v>226</v>
      </c>
      <c r="M37" t="s">
        <v>227</v>
      </c>
      <c r="N37" t="s">
        <v>248</v>
      </c>
      <c r="O37" t="s">
        <v>81</v>
      </c>
      <c r="P37" t="str">
        <f>"J27921 J27735 J27920"</f>
        <v>J27921 J27735 J27920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21.09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4.0999999999999996</v>
      </c>
      <c r="BJ37">
        <v>4.4000000000000004</v>
      </c>
      <c r="BK37">
        <v>4.5</v>
      </c>
      <c r="BL37">
        <v>55.1</v>
      </c>
      <c r="BM37">
        <v>8.27</v>
      </c>
      <c r="BN37">
        <v>63.37</v>
      </c>
      <c r="BO37">
        <v>63.37</v>
      </c>
      <c r="BQ37" t="s">
        <v>249</v>
      </c>
      <c r="BR37" t="s">
        <v>82</v>
      </c>
      <c r="BS37" s="3">
        <v>44833</v>
      </c>
      <c r="BT37" s="4">
        <v>0.39097222222222222</v>
      </c>
      <c r="BU37" t="s">
        <v>250</v>
      </c>
      <c r="BV37" t="s">
        <v>84</v>
      </c>
      <c r="BY37">
        <v>22196.51</v>
      </c>
      <c r="BZ37" t="s">
        <v>116</v>
      </c>
      <c r="CA37" t="s">
        <v>230</v>
      </c>
      <c r="CC37" t="s">
        <v>227</v>
      </c>
      <c r="CD37">
        <v>1459</v>
      </c>
      <c r="CE37" t="s">
        <v>86</v>
      </c>
      <c r="CI37">
        <v>1</v>
      </c>
      <c r="CJ37">
        <v>1</v>
      </c>
      <c r="CK37">
        <v>22</v>
      </c>
    </row>
    <row r="38" spans="1:89" x14ac:dyDescent="0.3">
      <c r="A38" t="s">
        <v>72</v>
      </c>
      <c r="B38" t="s">
        <v>73</v>
      </c>
      <c r="C38" t="s">
        <v>74</v>
      </c>
      <c r="E38" t="str">
        <f>"009942883198"</f>
        <v>009942883198</v>
      </c>
      <c r="F38" s="3">
        <v>44832</v>
      </c>
      <c r="G38">
        <v>202306</v>
      </c>
      <c r="H38" t="s">
        <v>87</v>
      </c>
      <c r="I38" t="s">
        <v>88</v>
      </c>
      <c r="J38" t="s">
        <v>89</v>
      </c>
      <c r="L38" t="s">
        <v>87</v>
      </c>
      <c r="M38" t="s">
        <v>88</v>
      </c>
      <c r="N38" t="s">
        <v>251</v>
      </c>
      <c r="O38" t="s">
        <v>81</v>
      </c>
      <c r="P38" t="str">
        <f>"J27597"</f>
        <v>J27597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21.09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0.9</v>
      </c>
      <c r="BJ38">
        <v>1.2</v>
      </c>
      <c r="BK38">
        <v>1.5</v>
      </c>
      <c r="BL38">
        <v>55.1</v>
      </c>
      <c r="BM38">
        <v>8.27</v>
      </c>
      <c r="BN38">
        <v>63.37</v>
      </c>
      <c r="BO38">
        <v>63.37</v>
      </c>
      <c r="BQ38" t="s">
        <v>82</v>
      </c>
      <c r="BR38" t="s">
        <v>82</v>
      </c>
      <c r="BS38" s="3">
        <v>44833</v>
      </c>
      <c r="BT38" s="4">
        <v>0.39513888888888887</v>
      </c>
      <c r="BU38" t="s">
        <v>252</v>
      </c>
      <c r="BV38" t="s">
        <v>84</v>
      </c>
      <c r="BY38">
        <v>5829.49</v>
      </c>
      <c r="BZ38" t="s">
        <v>116</v>
      </c>
      <c r="CA38" t="s">
        <v>253</v>
      </c>
      <c r="CC38" t="s">
        <v>88</v>
      </c>
      <c r="CD38">
        <v>1609</v>
      </c>
      <c r="CE38" t="s">
        <v>86</v>
      </c>
      <c r="CI38">
        <v>1</v>
      </c>
      <c r="CJ38">
        <v>1</v>
      </c>
      <c r="CK38">
        <v>22</v>
      </c>
    </row>
    <row r="39" spans="1:89" x14ac:dyDescent="0.3">
      <c r="A39" t="s">
        <v>72</v>
      </c>
      <c r="B39" t="s">
        <v>73</v>
      </c>
      <c r="C39" t="s">
        <v>74</v>
      </c>
      <c r="E39" t="str">
        <f>"009942883193"</f>
        <v>009942883193</v>
      </c>
      <c r="F39" s="3">
        <v>44832</v>
      </c>
      <c r="G39">
        <v>202306</v>
      </c>
      <c r="H39" t="s">
        <v>87</v>
      </c>
      <c r="I39" t="s">
        <v>88</v>
      </c>
      <c r="J39" t="s">
        <v>89</v>
      </c>
      <c r="L39" t="s">
        <v>87</v>
      </c>
      <c r="M39" t="s">
        <v>88</v>
      </c>
      <c r="N39" t="s">
        <v>254</v>
      </c>
      <c r="O39" t="s">
        <v>81</v>
      </c>
      <c r="P39" t="str">
        <f>"J27962"</f>
        <v>J27962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21.09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3.2</v>
      </c>
      <c r="BJ39">
        <v>1.3</v>
      </c>
      <c r="BK39">
        <v>3.5</v>
      </c>
      <c r="BL39">
        <v>55.1</v>
      </c>
      <c r="BM39">
        <v>8.27</v>
      </c>
      <c r="BN39">
        <v>63.37</v>
      </c>
      <c r="BO39">
        <v>63.37</v>
      </c>
      <c r="BQ39" t="s">
        <v>255</v>
      </c>
      <c r="BR39" t="s">
        <v>82</v>
      </c>
      <c r="BS39" s="3">
        <v>44833</v>
      </c>
      <c r="BT39" s="4">
        <v>0.3972222222222222</v>
      </c>
      <c r="BU39" t="s">
        <v>256</v>
      </c>
      <c r="BV39" t="s">
        <v>84</v>
      </c>
      <c r="BY39">
        <v>6331.57</v>
      </c>
      <c r="BZ39" t="s">
        <v>116</v>
      </c>
      <c r="CA39" t="s">
        <v>253</v>
      </c>
      <c r="CC39" t="s">
        <v>88</v>
      </c>
      <c r="CD39">
        <v>1609</v>
      </c>
      <c r="CE39" t="s">
        <v>86</v>
      </c>
      <c r="CI39">
        <v>1</v>
      </c>
      <c r="CJ39">
        <v>1</v>
      </c>
      <c r="CK39">
        <v>22</v>
      </c>
    </row>
    <row r="40" spans="1:89" x14ac:dyDescent="0.3">
      <c r="A40" t="s">
        <v>72</v>
      </c>
      <c r="B40" t="s">
        <v>73</v>
      </c>
      <c r="C40" t="s">
        <v>74</v>
      </c>
      <c r="E40" t="str">
        <f>"009942803254"</f>
        <v>009942803254</v>
      </c>
      <c r="F40" s="3">
        <v>44832</v>
      </c>
      <c r="G40">
        <v>202306</v>
      </c>
      <c r="H40" t="s">
        <v>257</v>
      </c>
      <c r="I40" t="s">
        <v>258</v>
      </c>
      <c r="J40" t="s">
        <v>259</v>
      </c>
      <c r="L40" t="s">
        <v>75</v>
      </c>
      <c r="M40" t="s">
        <v>76</v>
      </c>
      <c r="N40" t="s">
        <v>260</v>
      </c>
      <c r="O40" t="s">
        <v>127</v>
      </c>
      <c r="P40" t="str">
        <f>"JNX0219682277"</f>
        <v>JNX0219682277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119.21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20.3</v>
      </c>
      <c r="BJ40">
        <v>81.900000000000006</v>
      </c>
      <c r="BK40">
        <v>82</v>
      </c>
      <c r="BL40">
        <v>316.73</v>
      </c>
      <c r="BM40">
        <v>47.51</v>
      </c>
      <c r="BN40">
        <v>364.24</v>
      </c>
      <c r="BO40">
        <v>364.24</v>
      </c>
      <c r="BQ40" t="s">
        <v>148</v>
      </c>
      <c r="BR40" t="s">
        <v>261</v>
      </c>
      <c r="BS40" s="3">
        <v>44833</v>
      </c>
      <c r="BT40" s="4">
        <v>0.41180555555555554</v>
      </c>
      <c r="BU40" t="s">
        <v>262</v>
      </c>
      <c r="BV40" t="s">
        <v>84</v>
      </c>
      <c r="BY40">
        <v>409509.81</v>
      </c>
      <c r="BZ40" t="s">
        <v>111</v>
      </c>
      <c r="CA40" t="s">
        <v>263</v>
      </c>
      <c r="CC40" t="s">
        <v>76</v>
      </c>
      <c r="CD40">
        <v>2090</v>
      </c>
      <c r="CE40" t="s">
        <v>86</v>
      </c>
      <c r="CI40">
        <v>3</v>
      </c>
      <c r="CJ40">
        <v>1</v>
      </c>
      <c r="CK40">
        <v>42</v>
      </c>
    </row>
    <row r="41" spans="1:89" x14ac:dyDescent="0.3">
      <c r="A41" t="s">
        <v>72</v>
      </c>
      <c r="B41" t="s">
        <v>73</v>
      </c>
      <c r="C41" t="s">
        <v>74</v>
      </c>
      <c r="E41" t="str">
        <f>"009942381188"</f>
        <v>009942381188</v>
      </c>
      <c r="F41" s="3">
        <v>44832</v>
      </c>
      <c r="G41">
        <v>202306</v>
      </c>
      <c r="H41" t="s">
        <v>90</v>
      </c>
      <c r="I41" t="s">
        <v>91</v>
      </c>
      <c r="J41" t="s">
        <v>264</v>
      </c>
      <c r="L41" t="s">
        <v>99</v>
      </c>
      <c r="M41" t="s">
        <v>100</v>
      </c>
      <c r="N41" t="s">
        <v>89</v>
      </c>
      <c r="O41" t="s">
        <v>107</v>
      </c>
      <c r="P41" t="str">
        <f>"2439"</f>
        <v>2439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50.62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0.2</v>
      </c>
      <c r="BJ41">
        <v>0.9</v>
      </c>
      <c r="BK41">
        <v>1</v>
      </c>
      <c r="BL41">
        <v>132.26</v>
      </c>
      <c r="BM41">
        <v>19.84</v>
      </c>
      <c r="BN41">
        <v>152.1</v>
      </c>
      <c r="BO41">
        <v>152.1</v>
      </c>
      <c r="BQ41" t="s">
        <v>265</v>
      </c>
      <c r="BR41" t="s">
        <v>266</v>
      </c>
      <c r="BS41" t="s">
        <v>197</v>
      </c>
      <c r="BY41">
        <v>4561.92</v>
      </c>
      <c r="BZ41" t="s">
        <v>111</v>
      </c>
      <c r="CC41" t="s">
        <v>100</v>
      </c>
      <c r="CD41">
        <v>3610</v>
      </c>
      <c r="CE41" t="s">
        <v>86</v>
      </c>
      <c r="CI41">
        <v>1</v>
      </c>
      <c r="CJ41" t="s">
        <v>197</v>
      </c>
      <c r="CK41">
        <v>31</v>
      </c>
    </row>
    <row r="42" spans="1:89" x14ac:dyDescent="0.3">
      <c r="A42" t="s">
        <v>72</v>
      </c>
      <c r="B42" t="s">
        <v>73</v>
      </c>
      <c r="C42" t="s">
        <v>74</v>
      </c>
      <c r="E42" t="str">
        <f>"009942381189"</f>
        <v>009942381189</v>
      </c>
      <c r="F42" s="3">
        <v>44832</v>
      </c>
      <c r="G42">
        <v>202306</v>
      </c>
      <c r="H42" t="s">
        <v>90</v>
      </c>
      <c r="I42" t="s">
        <v>91</v>
      </c>
      <c r="J42" t="s">
        <v>89</v>
      </c>
      <c r="L42" t="s">
        <v>101</v>
      </c>
      <c r="M42" t="s">
        <v>102</v>
      </c>
      <c r="N42" t="s">
        <v>89</v>
      </c>
      <c r="O42" t="s">
        <v>107</v>
      </c>
      <c r="P42" t="str">
        <f>"2439"</f>
        <v>2439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50.62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0.3</v>
      </c>
      <c r="BJ42">
        <v>0.9</v>
      </c>
      <c r="BK42">
        <v>1</v>
      </c>
      <c r="BL42">
        <v>132.26</v>
      </c>
      <c r="BM42">
        <v>19.84</v>
      </c>
      <c r="BN42">
        <v>152.1</v>
      </c>
      <c r="BO42">
        <v>152.1</v>
      </c>
      <c r="BQ42" t="s">
        <v>176</v>
      </c>
      <c r="BR42" t="s">
        <v>109</v>
      </c>
      <c r="BS42" s="3">
        <v>44834</v>
      </c>
      <c r="BT42" s="4">
        <v>0.35694444444444445</v>
      </c>
      <c r="BU42" t="s">
        <v>267</v>
      </c>
      <c r="BV42" t="s">
        <v>97</v>
      </c>
      <c r="BY42">
        <v>4673.24</v>
      </c>
      <c r="BZ42" t="s">
        <v>111</v>
      </c>
      <c r="CA42" t="s">
        <v>146</v>
      </c>
      <c r="CC42" t="s">
        <v>102</v>
      </c>
      <c r="CD42">
        <v>6070</v>
      </c>
      <c r="CE42" t="s">
        <v>86</v>
      </c>
      <c r="CI42">
        <v>1</v>
      </c>
      <c r="CJ42">
        <v>1</v>
      </c>
      <c r="CK42">
        <v>31</v>
      </c>
    </row>
    <row r="43" spans="1:89" x14ac:dyDescent="0.3">
      <c r="A43" t="s">
        <v>72</v>
      </c>
      <c r="B43" t="s">
        <v>73</v>
      </c>
      <c r="C43" t="s">
        <v>74</v>
      </c>
      <c r="E43" t="str">
        <f>"R009942581210"</f>
        <v>R009942581210</v>
      </c>
      <c r="F43" s="3">
        <v>44833</v>
      </c>
      <c r="G43">
        <v>202306</v>
      </c>
      <c r="H43" t="s">
        <v>220</v>
      </c>
      <c r="I43" t="s">
        <v>221</v>
      </c>
      <c r="J43" t="s">
        <v>148</v>
      </c>
      <c r="L43" t="s">
        <v>220</v>
      </c>
      <c r="M43" t="s">
        <v>221</v>
      </c>
      <c r="N43" t="s">
        <v>268</v>
      </c>
      <c r="O43" t="s">
        <v>127</v>
      </c>
      <c r="P43" t="str">
        <f>"INV186574"</f>
        <v>INV186574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40.28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0.7</v>
      </c>
      <c r="BJ43">
        <v>2.2999999999999998</v>
      </c>
      <c r="BK43">
        <v>3</v>
      </c>
      <c r="BL43">
        <v>110.5</v>
      </c>
      <c r="BM43">
        <v>16.579999999999998</v>
      </c>
      <c r="BN43">
        <v>127.08</v>
      </c>
      <c r="BO43">
        <v>127.08</v>
      </c>
      <c r="BQ43">
        <v>624764700</v>
      </c>
      <c r="BR43" t="s">
        <v>269</v>
      </c>
      <c r="BS43" t="s">
        <v>197</v>
      </c>
      <c r="BY43">
        <v>11403.28</v>
      </c>
      <c r="CC43" t="s">
        <v>221</v>
      </c>
      <c r="CD43">
        <v>1400</v>
      </c>
      <c r="CE43" t="s">
        <v>86</v>
      </c>
      <c r="CI43">
        <v>3</v>
      </c>
      <c r="CJ43" t="s">
        <v>197</v>
      </c>
      <c r="CK43">
        <v>42</v>
      </c>
    </row>
    <row r="44" spans="1:89" x14ac:dyDescent="0.3">
      <c r="A44" t="s">
        <v>72</v>
      </c>
      <c r="B44" t="s">
        <v>73</v>
      </c>
      <c r="C44" t="s">
        <v>74</v>
      </c>
      <c r="E44" t="str">
        <f>"009942863369"</f>
        <v>009942863369</v>
      </c>
      <c r="F44" s="3">
        <v>44833</v>
      </c>
      <c r="G44">
        <v>202306</v>
      </c>
      <c r="H44" t="s">
        <v>90</v>
      </c>
      <c r="I44" t="s">
        <v>91</v>
      </c>
      <c r="J44" t="s">
        <v>270</v>
      </c>
      <c r="L44" t="s">
        <v>271</v>
      </c>
      <c r="M44" t="s">
        <v>272</v>
      </c>
      <c r="N44" t="s">
        <v>273</v>
      </c>
      <c r="O44" t="s">
        <v>81</v>
      </c>
      <c r="P44" t="str">
        <f>""</f>
        <v/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26.99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0.6</v>
      </c>
      <c r="BJ44">
        <v>1.2</v>
      </c>
      <c r="BK44">
        <v>1.5</v>
      </c>
      <c r="BL44">
        <v>70.53</v>
      </c>
      <c r="BM44">
        <v>10.58</v>
      </c>
      <c r="BN44">
        <v>81.11</v>
      </c>
      <c r="BO44">
        <v>81.11</v>
      </c>
      <c r="BQ44" t="s">
        <v>274</v>
      </c>
      <c r="BR44" t="s">
        <v>275</v>
      </c>
      <c r="BS44" s="3">
        <v>44834</v>
      </c>
      <c r="BT44" s="4">
        <v>0.32083333333333336</v>
      </c>
      <c r="BU44" t="s">
        <v>276</v>
      </c>
      <c r="BV44" t="s">
        <v>84</v>
      </c>
      <c r="BY44">
        <v>5966.73</v>
      </c>
      <c r="BZ44" t="s">
        <v>116</v>
      </c>
      <c r="CA44" t="s">
        <v>277</v>
      </c>
      <c r="CC44" t="s">
        <v>272</v>
      </c>
      <c r="CD44">
        <v>1450</v>
      </c>
      <c r="CE44" t="s">
        <v>86</v>
      </c>
      <c r="CI44">
        <v>1</v>
      </c>
      <c r="CJ44">
        <v>1</v>
      </c>
      <c r="CK44">
        <v>21</v>
      </c>
    </row>
    <row r="45" spans="1:89" x14ac:dyDescent="0.3">
      <c r="A45" t="s">
        <v>72</v>
      </c>
      <c r="B45" t="s">
        <v>73</v>
      </c>
      <c r="C45" t="s">
        <v>74</v>
      </c>
      <c r="E45" t="str">
        <f>"009942581240"</f>
        <v>009942581240</v>
      </c>
      <c r="F45" s="3">
        <v>44833</v>
      </c>
      <c r="G45">
        <v>202306</v>
      </c>
      <c r="H45" t="s">
        <v>90</v>
      </c>
      <c r="I45" t="s">
        <v>91</v>
      </c>
      <c r="J45" t="s">
        <v>147</v>
      </c>
      <c r="L45" t="s">
        <v>90</v>
      </c>
      <c r="M45" t="s">
        <v>91</v>
      </c>
      <c r="N45" t="s">
        <v>278</v>
      </c>
      <c r="O45" t="s">
        <v>127</v>
      </c>
      <c r="P45" t="str">
        <f>"186801"</f>
        <v>186801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40.28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0.1</v>
      </c>
      <c r="BJ45">
        <v>0.9</v>
      </c>
      <c r="BK45">
        <v>1</v>
      </c>
      <c r="BL45">
        <v>110.5</v>
      </c>
      <c r="BM45">
        <v>16.579999999999998</v>
      </c>
      <c r="BN45">
        <v>127.08</v>
      </c>
      <c r="BO45">
        <v>127.08</v>
      </c>
      <c r="BR45" t="s">
        <v>150</v>
      </c>
      <c r="BS45" t="s">
        <v>197</v>
      </c>
      <c r="BY45">
        <v>4278</v>
      </c>
      <c r="BZ45" t="s">
        <v>111</v>
      </c>
      <c r="CC45" t="s">
        <v>91</v>
      </c>
      <c r="CD45">
        <v>7580</v>
      </c>
      <c r="CE45" t="s">
        <v>86</v>
      </c>
      <c r="CI45">
        <v>3</v>
      </c>
      <c r="CJ45" t="s">
        <v>197</v>
      </c>
      <c r="CK45">
        <v>42</v>
      </c>
    </row>
    <row r="46" spans="1:89" x14ac:dyDescent="0.3">
      <c r="A46" t="s">
        <v>72</v>
      </c>
      <c r="B46" t="s">
        <v>73</v>
      </c>
      <c r="C46" t="s">
        <v>74</v>
      </c>
      <c r="E46" t="str">
        <f>"009942581241"</f>
        <v>009942581241</v>
      </c>
      <c r="F46" s="3">
        <v>44833</v>
      </c>
      <c r="G46">
        <v>202306</v>
      </c>
      <c r="H46" t="s">
        <v>90</v>
      </c>
      <c r="I46" t="s">
        <v>91</v>
      </c>
      <c r="J46" t="s">
        <v>147</v>
      </c>
      <c r="L46" t="s">
        <v>279</v>
      </c>
      <c r="M46" t="s">
        <v>280</v>
      </c>
      <c r="N46" t="s">
        <v>281</v>
      </c>
      <c r="O46" t="s">
        <v>127</v>
      </c>
      <c r="P46" t="str">
        <f>"186817"</f>
        <v>186817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73.63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0.9</v>
      </c>
      <c r="BJ46">
        <v>1.9</v>
      </c>
      <c r="BK46">
        <v>2</v>
      </c>
      <c r="BL46">
        <v>197.63</v>
      </c>
      <c r="BM46">
        <v>29.64</v>
      </c>
      <c r="BN46">
        <v>227.27</v>
      </c>
      <c r="BO46">
        <v>227.27</v>
      </c>
      <c r="BR46" t="s">
        <v>150</v>
      </c>
      <c r="BS46" t="s">
        <v>197</v>
      </c>
      <c r="BY46">
        <v>9360</v>
      </c>
      <c r="BZ46" t="s">
        <v>111</v>
      </c>
      <c r="CC46" t="s">
        <v>280</v>
      </c>
      <c r="CD46">
        <v>4340</v>
      </c>
      <c r="CE46" t="s">
        <v>86</v>
      </c>
      <c r="CI46">
        <v>4</v>
      </c>
      <c r="CJ46" t="s">
        <v>197</v>
      </c>
      <c r="CK46">
        <v>43</v>
      </c>
    </row>
    <row r="47" spans="1:89" x14ac:dyDescent="0.3">
      <c r="A47" t="s">
        <v>72</v>
      </c>
      <c r="B47" t="s">
        <v>73</v>
      </c>
      <c r="C47" t="s">
        <v>74</v>
      </c>
      <c r="E47" t="str">
        <f>"009942581239"</f>
        <v>009942581239</v>
      </c>
      <c r="F47" s="3">
        <v>44833</v>
      </c>
      <c r="G47">
        <v>202306</v>
      </c>
      <c r="H47" t="s">
        <v>90</v>
      </c>
      <c r="I47" t="s">
        <v>91</v>
      </c>
      <c r="J47" t="s">
        <v>147</v>
      </c>
      <c r="L47" t="s">
        <v>87</v>
      </c>
      <c r="M47" t="s">
        <v>88</v>
      </c>
      <c r="N47" t="s">
        <v>282</v>
      </c>
      <c r="O47" t="s">
        <v>127</v>
      </c>
      <c r="P47" t="str">
        <f>"186800"</f>
        <v>186800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52.2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0.2</v>
      </c>
      <c r="BJ47">
        <v>0.8</v>
      </c>
      <c r="BK47">
        <v>1</v>
      </c>
      <c r="BL47">
        <v>141.65</v>
      </c>
      <c r="BM47">
        <v>21.25</v>
      </c>
      <c r="BN47">
        <v>162.9</v>
      </c>
      <c r="BO47">
        <v>162.9</v>
      </c>
      <c r="BR47" t="s">
        <v>150</v>
      </c>
      <c r="BS47" t="s">
        <v>197</v>
      </c>
      <c r="BY47">
        <v>3960.32</v>
      </c>
      <c r="BZ47" t="s">
        <v>111</v>
      </c>
      <c r="CC47" t="s">
        <v>88</v>
      </c>
      <c r="CD47">
        <v>1609</v>
      </c>
      <c r="CE47" t="s">
        <v>86</v>
      </c>
      <c r="CI47">
        <v>3</v>
      </c>
      <c r="CJ47" t="s">
        <v>197</v>
      </c>
      <c r="CK47">
        <v>41</v>
      </c>
    </row>
    <row r="48" spans="1:89" x14ac:dyDescent="0.3">
      <c r="A48" t="s">
        <v>72</v>
      </c>
      <c r="B48" t="s">
        <v>73</v>
      </c>
      <c r="C48" t="s">
        <v>74</v>
      </c>
      <c r="E48" t="str">
        <f>"009942883281"</f>
        <v>009942883281</v>
      </c>
      <c r="F48" s="3">
        <v>44833</v>
      </c>
      <c r="G48">
        <v>202306</v>
      </c>
      <c r="H48" t="s">
        <v>87</v>
      </c>
      <c r="I48" t="s">
        <v>88</v>
      </c>
      <c r="J48" t="s">
        <v>89</v>
      </c>
      <c r="L48" t="s">
        <v>90</v>
      </c>
      <c r="M48" t="s">
        <v>91</v>
      </c>
      <c r="N48" t="s">
        <v>89</v>
      </c>
      <c r="O48" t="s">
        <v>81</v>
      </c>
      <c r="P48" t="str">
        <f>"J26779"</f>
        <v>J26779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26.99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1.5</v>
      </c>
      <c r="BJ48">
        <v>1.2</v>
      </c>
      <c r="BK48">
        <v>1.5</v>
      </c>
      <c r="BL48">
        <v>70.53</v>
      </c>
      <c r="BM48">
        <v>10.58</v>
      </c>
      <c r="BN48">
        <v>81.11</v>
      </c>
      <c r="BO48">
        <v>81.11</v>
      </c>
      <c r="BQ48" t="s">
        <v>148</v>
      </c>
      <c r="BR48" t="s">
        <v>175</v>
      </c>
      <c r="BS48" s="3">
        <v>44834</v>
      </c>
      <c r="BT48" s="4">
        <v>0.41666666666666669</v>
      </c>
      <c r="BU48" t="s">
        <v>283</v>
      </c>
      <c r="BV48" t="s">
        <v>84</v>
      </c>
      <c r="BY48">
        <v>5861.96</v>
      </c>
      <c r="BZ48" t="s">
        <v>116</v>
      </c>
      <c r="CA48" t="s">
        <v>284</v>
      </c>
      <c r="CC48" t="s">
        <v>91</v>
      </c>
      <c r="CD48">
        <v>7530</v>
      </c>
      <c r="CE48" t="s">
        <v>86</v>
      </c>
      <c r="CI48">
        <v>1</v>
      </c>
      <c r="CJ48">
        <v>1</v>
      </c>
      <c r="CK48">
        <v>21</v>
      </c>
    </row>
    <row r="49" spans="1:89" x14ac:dyDescent="0.3">
      <c r="A49" t="s">
        <v>72</v>
      </c>
      <c r="B49" t="s">
        <v>73</v>
      </c>
      <c r="C49" t="s">
        <v>74</v>
      </c>
      <c r="E49" t="str">
        <f>"009942883185"</f>
        <v>009942883185</v>
      </c>
      <c r="F49" s="3">
        <v>44833</v>
      </c>
      <c r="G49">
        <v>202306</v>
      </c>
      <c r="H49" t="s">
        <v>87</v>
      </c>
      <c r="I49" t="s">
        <v>88</v>
      </c>
      <c r="J49" t="s">
        <v>89</v>
      </c>
      <c r="L49" t="s">
        <v>75</v>
      </c>
      <c r="M49" t="s">
        <v>76</v>
      </c>
      <c r="N49" t="s">
        <v>285</v>
      </c>
      <c r="O49" t="s">
        <v>81</v>
      </c>
      <c r="P49" t="str">
        <f>"NA"</f>
        <v>NA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31.2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3.9</v>
      </c>
      <c r="BJ49">
        <v>9.6</v>
      </c>
      <c r="BK49">
        <v>10</v>
      </c>
      <c r="BL49">
        <v>81.53</v>
      </c>
      <c r="BM49">
        <v>12.23</v>
      </c>
      <c r="BN49">
        <v>93.76</v>
      </c>
      <c r="BO49">
        <v>93.76</v>
      </c>
      <c r="BQ49" t="s">
        <v>148</v>
      </c>
      <c r="BR49" t="s">
        <v>82</v>
      </c>
      <c r="BS49" s="3">
        <v>44834</v>
      </c>
      <c r="BT49" s="4">
        <v>0.40208333333333335</v>
      </c>
      <c r="BU49" t="s">
        <v>286</v>
      </c>
      <c r="BV49" t="s">
        <v>84</v>
      </c>
      <c r="BY49">
        <v>48087.68</v>
      </c>
      <c r="BZ49" t="s">
        <v>116</v>
      </c>
      <c r="CA49" t="s">
        <v>287</v>
      </c>
      <c r="CC49" t="s">
        <v>76</v>
      </c>
      <c r="CD49">
        <v>1724</v>
      </c>
      <c r="CE49" t="s">
        <v>86</v>
      </c>
      <c r="CI49">
        <v>1</v>
      </c>
      <c r="CJ49">
        <v>1</v>
      </c>
      <c r="CK49">
        <v>22</v>
      </c>
    </row>
    <row r="50" spans="1:89" x14ac:dyDescent="0.3">
      <c r="A50" t="s">
        <v>72</v>
      </c>
      <c r="B50" t="s">
        <v>73</v>
      </c>
      <c r="C50" t="s">
        <v>74</v>
      </c>
      <c r="E50" t="str">
        <f>"009942883186"</f>
        <v>009942883186</v>
      </c>
      <c r="F50" s="3">
        <v>44833</v>
      </c>
      <c r="G50">
        <v>202306</v>
      </c>
      <c r="H50" t="s">
        <v>87</v>
      </c>
      <c r="I50" t="s">
        <v>88</v>
      </c>
      <c r="J50" t="s">
        <v>89</v>
      </c>
      <c r="L50" t="s">
        <v>288</v>
      </c>
      <c r="M50" t="s">
        <v>289</v>
      </c>
      <c r="N50" t="s">
        <v>290</v>
      </c>
      <c r="O50" t="s">
        <v>81</v>
      </c>
      <c r="P50" t="str">
        <f>"J27870"</f>
        <v>J27870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21.09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2</v>
      </c>
      <c r="BJ50">
        <v>3.6</v>
      </c>
      <c r="BK50">
        <v>4</v>
      </c>
      <c r="BL50">
        <v>55.1</v>
      </c>
      <c r="BM50">
        <v>8.27</v>
      </c>
      <c r="BN50">
        <v>63.37</v>
      </c>
      <c r="BO50">
        <v>63.37</v>
      </c>
      <c r="BQ50" t="s">
        <v>148</v>
      </c>
      <c r="BR50" t="s">
        <v>82</v>
      </c>
      <c r="BS50" t="s">
        <v>197</v>
      </c>
      <c r="BY50">
        <v>18000</v>
      </c>
      <c r="BZ50" t="s">
        <v>116</v>
      </c>
      <c r="CC50" t="s">
        <v>289</v>
      </c>
      <c r="CD50">
        <v>1559</v>
      </c>
      <c r="CE50" t="s">
        <v>86</v>
      </c>
      <c r="CI50">
        <v>1</v>
      </c>
      <c r="CJ50" t="s">
        <v>197</v>
      </c>
      <c r="CK50">
        <v>22</v>
      </c>
    </row>
    <row r="51" spans="1:89" x14ac:dyDescent="0.3">
      <c r="A51" t="s">
        <v>72</v>
      </c>
      <c r="B51" t="s">
        <v>73</v>
      </c>
      <c r="C51" t="s">
        <v>74</v>
      </c>
      <c r="E51" t="str">
        <f>"009942883191"</f>
        <v>009942883191</v>
      </c>
      <c r="F51" s="3">
        <v>44833</v>
      </c>
      <c r="G51">
        <v>202306</v>
      </c>
      <c r="H51" t="s">
        <v>87</v>
      </c>
      <c r="I51" t="s">
        <v>88</v>
      </c>
      <c r="J51" t="s">
        <v>89</v>
      </c>
      <c r="L51" t="s">
        <v>220</v>
      </c>
      <c r="M51" t="s">
        <v>221</v>
      </c>
      <c r="N51" t="s">
        <v>291</v>
      </c>
      <c r="O51" t="s">
        <v>81</v>
      </c>
      <c r="P51" t="str">
        <f>"J27732"</f>
        <v>J27732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21.09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2</v>
      </c>
      <c r="BJ51">
        <v>4.5</v>
      </c>
      <c r="BK51">
        <v>4.5</v>
      </c>
      <c r="BL51">
        <v>55.1</v>
      </c>
      <c r="BM51">
        <v>8.27</v>
      </c>
      <c r="BN51">
        <v>63.37</v>
      </c>
      <c r="BO51">
        <v>63.37</v>
      </c>
      <c r="BQ51" t="s">
        <v>148</v>
      </c>
      <c r="BR51" t="s">
        <v>82</v>
      </c>
      <c r="BS51" t="s">
        <v>197</v>
      </c>
      <c r="BY51">
        <v>22406.78</v>
      </c>
      <c r="BZ51" t="s">
        <v>116</v>
      </c>
      <c r="CC51" t="s">
        <v>221</v>
      </c>
      <c r="CD51">
        <v>1422</v>
      </c>
      <c r="CE51" t="s">
        <v>86</v>
      </c>
      <c r="CI51">
        <v>1</v>
      </c>
      <c r="CJ51" t="s">
        <v>197</v>
      </c>
      <c r="CK51">
        <v>22</v>
      </c>
    </row>
    <row r="52" spans="1:89" x14ac:dyDescent="0.3">
      <c r="A52" t="s">
        <v>72</v>
      </c>
      <c r="B52" t="s">
        <v>73</v>
      </c>
      <c r="C52" t="s">
        <v>74</v>
      </c>
      <c r="E52" t="str">
        <f>"009942883190"</f>
        <v>009942883190</v>
      </c>
      <c r="F52" s="3">
        <v>44833</v>
      </c>
      <c r="G52">
        <v>202306</v>
      </c>
      <c r="H52" t="s">
        <v>87</v>
      </c>
      <c r="I52" t="s">
        <v>88</v>
      </c>
      <c r="J52" t="s">
        <v>89</v>
      </c>
      <c r="L52" t="s">
        <v>226</v>
      </c>
      <c r="M52" t="s">
        <v>227</v>
      </c>
      <c r="N52" t="s">
        <v>292</v>
      </c>
      <c r="O52" t="s">
        <v>81</v>
      </c>
      <c r="P52" t="str">
        <f>"J27866"</f>
        <v>J27866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21.09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2</v>
      </c>
      <c r="BJ52">
        <v>1.4</v>
      </c>
      <c r="BK52">
        <v>2</v>
      </c>
      <c r="BL52">
        <v>55.1</v>
      </c>
      <c r="BM52">
        <v>8.27</v>
      </c>
      <c r="BN52">
        <v>63.37</v>
      </c>
      <c r="BO52">
        <v>63.37</v>
      </c>
      <c r="BQ52" t="s">
        <v>293</v>
      </c>
      <c r="BR52" t="s">
        <v>82</v>
      </c>
      <c r="BS52" s="3">
        <v>44834</v>
      </c>
      <c r="BT52" s="4">
        <v>0.31388888888888888</v>
      </c>
      <c r="BU52" t="s">
        <v>294</v>
      </c>
      <c r="BV52" t="s">
        <v>84</v>
      </c>
      <c r="BY52">
        <v>6967.8</v>
      </c>
      <c r="BZ52" t="s">
        <v>116</v>
      </c>
      <c r="CA52" t="s">
        <v>230</v>
      </c>
      <c r="CC52" t="s">
        <v>227</v>
      </c>
      <c r="CD52">
        <v>1460</v>
      </c>
      <c r="CE52" t="s">
        <v>86</v>
      </c>
      <c r="CI52">
        <v>1</v>
      </c>
      <c r="CJ52">
        <v>1</v>
      </c>
      <c r="CK52">
        <v>22</v>
      </c>
    </row>
    <row r="53" spans="1:89" x14ac:dyDescent="0.3">
      <c r="A53" t="s">
        <v>72</v>
      </c>
      <c r="B53" t="s">
        <v>73</v>
      </c>
      <c r="C53" t="s">
        <v>74</v>
      </c>
      <c r="E53" t="str">
        <f>"009942883192"</f>
        <v>009942883192</v>
      </c>
      <c r="F53" s="3">
        <v>44833</v>
      </c>
      <c r="G53">
        <v>202306</v>
      </c>
      <c r="H53" t="s">
        <v>87</v>
      </c>
      <c r="I53" t="s">
        <v>88</v>
      </c>
      <c r="J53" t="s">
        <v>89</v>
      </c>
      <c r="L53" t="s">
        <v>87</v>
      </c>
      <c r="M53" t="s">
        <v>88</v>
      </c>
      <c r="N53" t="s">
        <v>295</v>
      </c>
      <c r="O53" t="s">
        <v>81</v>
      </c>
      <c r="P53" t="str">
        <f>"J27970"</f>
        <v>J27970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21.09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</v>
      </c>
      <c r="BK53">
        <v>1</v>
      </c>
      <c r="BL53">
        <v>55.1</v>
      </c>
      <c r="BM53">
        <v>8.27</v>
      </c>
      <c r="BN53">
        <v>63.37</v>
      </c>
      <c r="BO53">
        <v>63.37</v>
      </c>
      <c r="BQ53" t="s">
        <v>296</v>
      </c>
      <c r="BR53" t="s">
        <v>82</v>
      </c>
      <c r="BS53" s="3">
        <v>44834</v>
      </c>
      <c r="BT53" s="4">
        <v>0.3666666666666667</v>
      </c>
      <c r="BU53" t="s">
        <v>297</v>
      </c>
      <c r="BV53" t="s">
        <v>84</v>
      </c>
      <c r="BY53">
        <v>4</v>
      </c>
      <c r="BZ53" t="s">
        <v>116</v>
      </c>
      <c r="CA53" t="s">
        <v>298</v>
      </c>
      <c r="CC53" t="s">
        <v>88</v>
      </c>
      <c r="CD53">
        <v>1600</v>
      </c>
      <c r="CE53" t="s">
        <v>86</v>
      </c>
      <c r="CI53">
        <v>1</v>
      </c>
      <c r="CJ53">
        <v>1</v>
      </c>
      <c r="CK53">
        <v>22</v>
      </c>
    </row>
    <row r="54" spans="1:89" x14ac:dyDescent="0.3">
      <c r="A54" t="s">
        <v>72</v>
      </c>
      <c r="B54" t="s">
        <v>73</v>
      </c>
      <c r="C54" t="s">
        <v>74</v>
      </c>
      <c r="E54" t="str">
        <f>"009942558855"</f>
        <v>009942558855</v>
      </c>
      <c r="F54" s="3">
        <v>44805</v>
      </c>
      <c r="G54">
        <v>202306</v>
      </c>
      <c r="H54" t="s">
        <v>90</v>
      </c>
      <c r="I54" t="s">
        <v>91</v>
      </c>
      <c r="J54" t="s">
        <v>147</v>
      </c>
      <c r="L54" t="s">
        <v>75</v>
      </c>
      <c r="M54" t="s">
        <v>76</v>
      </c>
      <c r="N54" t="s">
        <v>148</v>
      </c>
      <c r="O54" t="s">
        <v>127</v>
      </c>
      <c r="P54" t="str">
        <f>"INV185701"</f>
        <v>INV185701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60.2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2.9</v>
      </c>
      <c r="BJ54">
        <v>10.9</v>
      </c>
      <c r="BK54">
        <v>11</v>
      </c>
      <c r="BL54">
        <v>149.65</v>
      </c>
      <c r="BM54">
        <v>22.45</v>
      </c>
      <c r="BN54">
        <v>172.1</v>
      </c>
      <c r="BO54">
        <v>172.1</v>
      </c>
      <c r="BQ54" t="s">
        <v>299</v>
      </c>
      <c r="BR54" t="s">
        <v>150</v>
      </c>
      <c r="BS54" s="3">
        <v>44809</v>
      </c>
      <c r="BT54" s="4">
        <v>0.38055555555555554</v>
      </c>
      <c r="BU54" t="s">
        <v>300</v>
      </c>
      <c r="BV54" t="s">
        <v>84</v>
      </c>
      <c r="BY54">
        <v>54608.4</v>
      </c>
      <c r="BZ54" t="s">
        <v>111</v>
      </c>
      <c r="CA54" t="s">
        <v>301</v>
      </c>
      <c r="CC54" t="s">
        <v>76</v>
      </c>
      <c r="CD54">
        <v>2196</v>
      </c>
      <c r="CE54" t="s">
        <v>86</v>
      </c>
      <c r="CI54">
        <v>3</v>
      </c>
      <c r="CJ54">
        <v>2</v>
      </c>
      <c r="CK54">
        <v>41</v>
      </c>
    </row>
    <row r="55" spans="1:89" x14ac:dyDescent="0.3">
      <c r="A55" t="s">
        <v>72</v>
      </c>
      <c r="B55" t="s">
        <v>73</v>
      </c>
      <c r="C55" t="s">
        <v>74</v>
      </c>
      <c r="E55" t="str">
        <f>"009942558856"</f>
        <v>009942558856</v>
      </c>
      <c r="F55" s="3">
        <v>44805</v>
      </c>
      <c r="G55">
        <v>202306</v>
      </c>
      <c r="H55" t="s">
        <v>90</v>
      </c>
      <c r="I55" t="s">
        <v>91</v>
      </c>
      <c r="J55" t="s">
        <v>147</v>
      </c>
      <c r="L55" t="s">
        <v>75</v>
      </c>
      <c r="M55" t="s">
        <v>76</v>
      </c>
      <c r="N55" t="s">
        <v>148</v>
      </c>
      <c r="O55" t="s">
        <v>127</v>
      </c>
      <c r="P55" t="str">
        <f>"INV185692"</f>
        <v>INV185692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60.2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2.6</v>
      </c>
      <c r="BJ55">
        <v>12.3</v>
      </c>
      <c r="BK55">
        <v>13</v>
      </c>
      <c r="BL55">
        <v>149.65</v>
      </c>
      <c r="BM55">
        <v>22.45</v>
      </c>
      <c r="BN55">
        <v>172.1</v>
      </c>
      <c r="BO55">
        <v>172.1</v>
      </c>
      <c r="BQ55" t="s">
        <v>302</v>
      </c>
      <c r="BR55" t="s">
        <v>150</v>
      </c>
      <c r="BS55" s="3">
        <v>44809</v>
      </c>
      <c r="BT55" s="4">
        <v>0.70000000000000007</v>
      </c>
      <c r="BU55" t="s">
        <v>303</v>
      </c>
      <c r="BV55" t="s">
        <v>84</v>
      </c>
      <c r="BY55">
        <v>61387</v>
      </c>
      <c r="BZ55" t="s">
        <v>111</v>
      </c>
      <c r="CA55" t="s">
        <v>304</v>
      </c>
      <c r="CC55" t="s">
        <v>76</v>
      </c>
      <c r="CD55">
        <v>2196</v>
      </c>
      <c r="CE55" t="s">
        <v>86</v>
      </c>
      <c r="CI55">
        <v>3</v>
      </c>
      <c r="CJ55">
        <v>2</v>
      </c>
      <c r="CK55">
        <v>41</v>
      </c>
    </row>
    <row r="56" spans="1:89" x14ac:dyDescent="0.3">
      <c r="A56" t="s">
        <v>72</v>
      </c>
      <c r="B56" t="s">
        <v>73</v>
      </c>
      <c r="C56" t="s">
        <v>74</v>
      </c>
      <c r="E56" t="str">
        <f>"009942278686"</f>
        <v>009942278686</v>
      </c>
      <c r="F56" s="3">
        <v>44805</v>
      </c>
      <c r="G56">
        <v>202306</v>
      </c>
      <c r="H56" t="s">
        <v>87</v>
      </c>
      <c r="I56" t="s">
        <v>88</v>
      </c>
      <c r="J56" t="s">
        <v>305</v>
      </c>
      <c r="L56" t="s">
        <v>75</v>
      </c>
      <c r="M56" t="s">
        <v>76</v>
      </c>
      <c r="N56" t="s">
        <v>306</v>
      </c>
      <c r="O56" t="s">
        <v>81</v>
      </c>
      <c r="P56" t="str">
        <f>""</f>
        <v/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35.99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9.6</v>
      </c>
      <c r="BK56">
        <v>10</v>
      </c>
      <c r="BL56">
        <v>86.32</v>
      </c>
      <c r="BM56">
        <v>12.95</v>
      </c>
      <c r="BN56">
        <v>99.27</v>
      </c>
      <c r="BO56">
        <v>99.27</v>
      </c>
      <c r="BS56" s="3">
        <v>44806</v>
      </c>
      <c r="BT56" s="4">
        <v>0.41666666666666669</v>
      </c>
      <c r="BU56" t="s">
        <v>307</v>
      </c>
      <c r="BV56" t="s">
        <v>84</v>
      </c>
      <c r="BY56">
        <v>48000</v>
      </c>
      <c r="BZ56" t="s">
        <v>116</v>
      </c>
      <c r="CA56" t="s">
        <v>215</v>
      </c>
      <c r="CC56" t="s">
        <v>76</v>
      </c>
      <c r="CD56">
        <v>2094</v>
      </c>
      <c r="CE56" t="s">
        <v>86</v>
      </c>
      <c r="CI56">
        <v>1</v>
      </c>
      <c r="CJ56">
        <v>1</v>
      </c>
      <c r="CK56">
        <v>22</v>
      </c>
    </row>
    <row r="57" spans="1:89" x14ac:dyDescent="0.3">
      <c r="A57" t="s">
        <v>72</v>
      </c>
      <c r="B57" t="s">
        <v>73</v>
      </c>
      <c r="C57" t="s">
        <v>74</v>
      </c>
      <c r="E57" t="str">
        <f>"009941267431"</f>
        <v>009941267431</v>
      </c>
      <c r="F57" s="3">
        <v>44805</v>
      </c>
      <c r="G57">
        <v>202306</v>
      </c>
      <c r="H57" t="s">
        <v>75</v>
      </c>
      <c r="I57" t="s">
        <v>76</v>
      </c>
      <c r="J57" t="s">
        <v>308</v>
      </c>
      <c r="L57" t="s">
        <v>90</v>
      </c>
      <c r="M57" t="s">
        <v>91</v>
      </c>
      <c r="N57" t="s">
        <v>309</v>
      </c>
      <c r="O57" t="s">
        <v>127</v>
      </c>
      <c r="P57" t="str">
        <f>"NA"</f>
        <v>NA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60.2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0.5</v>
      </c>
      <c r="BJ57">
        <v>1.8</v>
      </c>
      <c r="BK57">
        <v>2</v>
      </c>
      <c r="BL57">
        <v>149.65</v>
      </c>
      <c r="BM57">
        <v>22.45</v>
      </c>
      <c r="BN57">
        <v>172.1</v>
      </c>
      <c r="BO57">
        <v>172.1</v>
      </c>
      <c r="BQ57" t="s">
        <v>310</v>
      </c>
      <c r="BR57" t="s">
        <v>148</v>
      </c>
      <c r="BS57" s="3">
        <v>44809</v>
      </c>
      <c r="BT57" s="4">
        <v>0.45833333333333331</v>
      </c>
      <c r="BU57" t="s">
        <v>311</v>
      </c>
      <c r="BV57" t="s">
        <v>84</v>
      </c>
      <c r="BY57">
        <v>8870.4699999999993</v>
      </c>
      <c r="BZ57" t="s">
        <v>111</v>
      </c>
      <c r="CC57" t="s">
        <v>91</v>
      </c>
      <c r="CD57">
        <v>7945</v>
      </c>
      <c r="CE57" t="s">
        <v>86</v>
      </c>
      <c r="CI57">
        <v>3</v>
      </c>
      <c r="CJ57">
        <v>1</v>
      </c>
      <c r="CK57">
        <v>41</v>
      </c>
    </row>
    <row r="58" spans="1:89" x14ac:dyDescent="0.3">
      <c r="A58" t="s">
        <v>72</v>
      </c>
      <c r="B58" t="s">
        <v>73</v>
      </c>
      <c r="C58" t="s">
        <v>74</v>
      </c>
      <c r="E58" t="str">
        <f>"009942558860"</f>
        <v>009942558860</v>
      </c>
      <c r="F58" s="3">
        <v>44806</v>
      </c>
      <c r="G58">
        <v>202306</v>
      </c>
      <c r="H58" t="s">
        <v>90</v>
      </c>
      <c r="I58" t="s">
        <v>91</v>
      </c>
      <c r="J58" t="s">
        <v>147</v>
      </c>
      <c r="L58" t="s">
        <v>194</v>
      </c>
      <c r="M58" t="s">
        <v>195</v>
      </c>
      <c r="N58" t="s">
        <v>148</v>
      </c>
      <c r="O58" t="s">
        <v>127</v>
      </c>
      <c r="P58" t="str">
        <f>"INV185750"</f>
        <v>INV185750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60.2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0.4</v>
      </c>
      <c r="BJ58">
        <v>1.2</v>
      </c>
      <c r="BK58">
        <v>2</v>
      </c>
      <c r="BL58">
        <v>149.65</v>
      </c>
      <c r="BM58">
        <v>22.45</v>
      </c>
      <c r="BN58">
        <v>172.1</v>
      </c>
      <c r="BO58">
        <v>172.1</v>
      </c>
      <c r="BQ58" t="s">
        <v>312</v>
      </c>
      <c r="BR58" t="s">
        <v>150</v>
      </c>
      <c r="BS58" s="3">
        <v>44809</v>
      </c>
      <c r="BT58" s="4">
        <v>0.55833333333333335</v>
      </c>
      <c r="BU58" t="s">
        <v>313</v>
      </c>
      <c r="BV58" t="s">
        <v>84</v>
      </c>
      <c r="BY58">
        <v>6240</v>
      </c>
      <c r="BZ58" t="s">
        <v>111</v>
      </c>
      <c r="CA58" t="s">
        <v>314</v>
      </c>
      <c r="CC58" t="s">
        <v>195</v>
      </c>
      <c r="CD58">
        <v>9301</v>
      </c>
      <c r="CE58" t="s">
        <v>86</v>
      </c>
      <c r="CI58">
        <v>3</v>
      </c>
      <c r="CJ58">
        <v>1</v>
      </c>
      <c r="CK58">
        <v>41</v>
      </c>
    </row>
    <row r="59" spans="1:89" x14ac:dyDescent="0.3">
      <c r="A59" t="s">
        <v>72</v>
      </c>
      <c r="B59" t="s">
        <v>73</v>
      </c>
      <c r="C59" t="s">
        <v>74</v>
      </c>
      <c r="E59" t="str">
        <f>"009942558859"</f>
        <v>009942558859</v>
      </c>
      <c r="F59" s="3">
        <v>44806</v>
      </c>
      <c r="G59">
        <v>202306</v>
      </c>
      <c r="H59" t="s">
        <v>90</v>
      </c>
      <c r="I59" t="s">
        <v>91</v>
      </c>
      <c r="J59" t="s">
        <v>147</v>
      </c>
      <c r="L59" t="s">
        <v>189</v>
      </c>
      <c r="M59" t="s">
        <v>190</v>
      </c>
      <c r="N59" t="s">
        <v>148</v>
      </c>
      <c r="O59" t="s">
        <v>127</v>
      </c>
      <c r="P59" t="str">
        <f>"INV185736"</f>
        <v>INV185736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84.91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0.9</v>
      </c>
      <c r="BJ59">
        <v>2.5</v>
      </c>
      <c r="BK59">
        <v>3</v>
      </c>
      <c r="BL59">
        <v>208.91</v>
      </c>
      <c r="BM59">
        <v>31.34</v>
      </c>
      <c r="BN59">
        <v>240.25</v>
      </c>
      <c r="BO59">
        <v>240.25</v>
      </c>
      <c r="BQ59" t="s">
        <v>315</v>
      </c>
      <c r="BR59" t="s">
        <v>150</v>
      </c>
      <c r="BS59" s="3">
        <v>44810</v>
      </c>
      <c r="BT59" s="4">
        <v>0.52708333333333335</v>
      </c>
      <c r="BU59" t="s">
        <v>316</v>
      </c>
      <c r="BV59" t="s">
        <v>84</v>
      </c>
      <c r="BY59">
        <v>12629.5</v>
      </c>
      <c r="BZ59" t="s">
        <v>111</v>
      </c>
      <c r="CA59" t="s">
        <v>193</v>
      </c>
      <c r="CC59" t="s">
        <v>190</v>
      </c>
      <c r="CD59">
        <v>216</v>
      </c>
      <c r="CE59" t="s">
        <v>86</v>
      </c>
      <c r="CI59">
        <v>4</v>
      </c>
      <c r="CJ59">
        <v>2</v>
      </c>
      <c r="CK59">
        <v>43</v>
      </c>
    </row>
    <row r="60" spans="1:89" x14ac:dyDescent="0.3">
      <c r="A60" t="s">
        <v>72</v>
      </c>
      <c r="B60" t="s">
        <v>73</v>
      </c>
      <c r="C60" t="s">
        <v>74</v>
      </c>
      <c r="E60" t="str">
        <f>"009942558857"</f>
        <v>009942558857</v>
      </c>
      <c r="F60" s="3">
        <v>44806</v>
      </c>
      <c r="G60">
        <v>202306</v>
      </c>
      <c r="H60" t="s">
        <v>90</v>
      </c>
      <c r="I60" t="s">
        <v>91</v>
      </c>
      <c r="J60" t="s">
        <v>147</v>
      </c>
      <c r="L60" t="s">
        <v>317</v>
      </c>
      <c r="M60" t="s">
        <v>318</v>
      </c>
      <c r="N60" t="s">
        <v>319</v>
      </c>
      <c r="O60" t="s">
        <v>127</v>
      </c>
      <c r="P60" t="str">
        <f>"INV185714"</f>
        <v>INV185714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84.91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1.2</v>
      </c>
      <c r="BJ60">
        <v>8</v>
      </c>
      <c r="BK60">
        <v>8</v>
      </c>
      <c r="BL60">
        <v>208.91</v>
      </c>
      <c r="BM60">
        <v>31.34</v>
      </c>
      <c r="BN60">
        <v>240.25</v>
      </c>
      <c r="BO60">
        <v>240.25</v>
      </c>
      <c r="BQ60" t="s">
        <v>320</v>
      </c>
      <c r="BR60" t="s">
        <v>150</v>
      </c>
      <c r="BS60" s="3">
        <v>44809</v>
      </c>
      <c r="BT60" s="4">
        <v>0.63750000000000007</v>
      </c>
      <c r="BU60" t="s">
        <v>321</v>
      </c>
      <c r="BV60" t="s">
        <v>84</v>
      </c>
      <c r="BY60">
        <v>39866.879999999997</v>
      </c>
      <c r="BZ60" t="s">
        <v>111</v>
      </c>
      <c r="CA60" t="s">
        <v>322</v>
      </c>
      <c r="CC60" t="s">
        <v>318</v>
      </c>
      <c r="CD60">
        <v>920</v>
      </c>
      <c r="CE60" t="s">
        <v>86</v>
      </c>
      <c r="CI60">
        <v>4</v>
      </c>
      <c r="CJ60">
        <v>1</v>
      </c>
      <c r="CK60">
        <v>43</v>
      </c>
    </row>
    <row r="61" spans="1:89" x14ac:dyDescent="0.3">
      <c r="A61" t="s">
        <v>72</v>
      </c>
      <c r="B61" t="s">
        <v>73</v>
      </c>
      <c r="C61" t="s">
        <v>74</v>
      </c>
      <c r="E61" t="str">
        <f>"009942558858"</f>
        <v>009942558858</v>
      </c>
      <c r="F61" s="3">
        <v>44806</v>
      </c>
      <c r="G61">
        <v>202306</v>
      </c>
      <c r="H61" t="s">
        <v>90</v>
      </c>
      <c r="I61" t="s">
        <v>91</v>
      </c>
      <c r="J61" t="s">
        <v>147</v>
      </c>
      <c r="L61" t="s">
        <v>90</v>
      </c>
      <c r="M61" t="s">
        <v>91</v>
      </c>
      <c r="N61" t="s">
        <v>148</v>
      </c>
      <c r="O61" t="s">
        <v>127</v>
      </c>
      <c r="P61" t="str">
        <f>"INV185717"</f>
        <v>INV185717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46.45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2.7</v>
      </c>
      <c r="BJ61">
        <v>12.8</v>
      </c>
      <c r="BK61">
        <v>13</v>
      </c>
      <c r="BL61">
        <v>116.67</v>
      </c>
      <c r="BM61">
        <v>17.5</v>
      </c>
      <c r="BN61">
        <v>134.16999999999999</v>
      </c>
      <c r="BO61">
        <v>134.16999999999999</v>
      </c>
      <c r="BQ61" t="s">
        <v>323</v>
      </c>
      <c r="BR61" t="s">
        <v>150</v>
      </c>
      <c r="BS61" s="3">
        <v>44809</v>
      </c>
      <c r="BT61" s="4">
        <v>0.5229166666666667</v>
      </c>
      <c r="BU61" t="s">
        <v>324</v>
      </c>
      <c r="BV61" t="s">
        <v>84</v>
      </c>
      <c r="BY61">
        <v>63916.26</v>
      </c>
      <c r="BZ61" t="s">
        <v>111</v>
      </c>
      <c r="CA61" t="s">
        <v>165</v>
      </c>
      <c r="CC61" t="s">
        <v>91</v>
      </c>
      <c r="CD61">
        <v>8005</v>
      </c>
      <c r="CE61" t="s">
        <v>86</v>
      </c>
      <c r="CI61">
        <v>3</v>
      </c>
      <c r="CJ61">
        <v>1</v>
      </c>
      <c r="CK61">
        <v>42</v>
      </c>
    </row>
    <row r="62" spans="1:89" x14ac:dyDescent="0.3">
      <c r="A62" t="s">
        <v>72</v>
      </c>
      <c r="B62" t="s">
        <v>73</v>
      </c>
      <c r="C62" t="s">
        <v>74</v>
      </c>
      <c r="E62" t="str">
        <f>"009942278689"</f>
        <v>009942278689</v>
      </c>
      <c r="F62" s="3">
        <v>44806</v>
      </c>
      <c r="G62">
        <v>202306</v>
      </c>
      <c r="H62" t="s">
        <v>87</v>
      </c>
      <c r="I62" t="s">
        <v>88</v>
      </c>
      <c r="J62" t="s">
        <v>325</v>
      </c>
      <c r="L62" t="s">
        <v>75</v>
      </c>
      <c r="M62" t="s">
        <v>76</v>
      </c>
      <c r="N62" t="s">
        <v>326</v>
      </c>
      <c r="O62" t="s">
        <v>81</v>
      </c>
      <c r="P62" t="str">
        <f>"J27388"</f>
        <v>J27388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24.32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2</v>
      </c>
      <c r="BJ62">
        <v>7.2</v>
      </c>
      <c r="BK62">
        <v>7.5</v>
      </c>
      <c r="BL62">
        <v>58.33</v>
      </c>
      <c r="BM62">
        <v>8.75</v>
      </c>
      <c r="BN62">
        <v>67.08</v>
      </c>
      <c r="BO62">
        <v>67.08</v>
      </c>
      <c r="BQ62" t="s">
        <v>327</v>
      </c>
      <c r="BR62" t="s">
        <v>82</v>
      </c>
      <c r="BS62" s="3">
        <v>44809</v>
      </c>
      <c r="BT62" s="4">
        <v>0.42986111111111108</v>
      </c>
      <c r="BU62" t="s">
        <v>328</v>
      </c>
      <c r="BV62" t="s">
        <v>84</v>
      </c>
      <c r="BY62">
        <v>36000</v>
      </c>
      <c r="BZ62" t="s">
        <v>116</v>
      </c>
      <c r="CA62" t="s">
        <v>215</v>
      </c>
      <c r="CC62" t="s">
        <v>76</v>
      </c>
      <c r="CD62">
        <v>2094</v>
      </c>
      <c r="CE62" t="s">
        <v>86</v>
      </c>
      <c r="CI62">
        <v>1</v>
      </c>
      <c r="CJ62">
        <v>1</v>
      </c>
      <c r="CK62">
        <v>22</v>
      </c>
    </row>
    <row r="63" spans="1:89" x14ac:dyDescent="0.3">
      <c r="A63" t="s">
        <v>72</v>
      </c>
      <c r="B63" t="s">
        <v>73</v>
      </c>
      <c r="C63" t="s">
        <v>74</v>
      </c>
      <c r="E63" t="str">
        <f>"009942278688"</f>
        <v>009942278688</v>
      </c>
      <c r="F63" s="3">
        <v>44806</v>
      </c>
      <c r="G63">
        <v>202306</v>
      </c>
      <c r="H63" t="s">
        <v>87</v>
      </c>
      <c r="I63" t="s">
        <v>88</v>
      </c>
      <c r="J63" t="s">
        <v>329</v>
      </c>
      <c r="L63" t="s">
        <v>330</v>
      </c>
      <c r="M63" t="s">
        <v>331</v>
      </c>
      <c r="N63" t="s">
        <v>332</v>
      </c>
      <c r="O63" t="s">
        <v>81</v>
      </c>
      <c r="P63" t="str">
        <f>""</f>
        <v/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31.13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1.1000000000000001</v>
      </c>
      <c r="BJ63">
        <v>0.8</v>
      </c>
      <c r="BK63">
        <v>1.5</v>
      </c>
      <c r="BL63">
        <v>74.67</v>
      </c>
      <c r="BM63">
        <v>11.2</v>
      </c>
      <c r="BN63">
        <v>85.87</v>
      </c>
      <c r="BO63">
        <v>85.87</v>
      </c>
      <c r="BQ63" t="s">
        <v>333</v>
      </c>
      <c r="BR63" t="s">
        <v>82</v>
      </c>
      <c r="BS63" s="3">
        <v>44809</v>
      </c>
      <c r="BT63" s="4">
        <v>0.42222222222222222</v>
      </c>
      <c r="BU63" t="s">
        <v>334</v>
      </c>
      <c r="BV63" t="s">
        <v>84</v>
      </c>
      <c r="BY63">
        <v>4065.2</v>
      </c>
      <c r="BZ63" t="s">
        <v>116</v>
      </c>
      <c r="CA63" t="s">
        <v>335</v>
      </c>
      <c r="CC63" t="s">
        <v>331</v>
      </c>
      <c r="CD63">
        <v>157</v>
      </c>
      <c r="CE63" t="s">
        <v>86</v>
      </c>
      <c r="CI63">
        <v>1</v>
      </c>
      <c r="CJ63">
        <v>1</v>
      </c>
      <c r="CK63">
        <v>21</v>
      </c>
    </row>
    <row r="64" spans="1:89" x14ac:dyDescent="0.3">
      <c r="A64" t="s">
        <v>72</v>
      </c>
      <c r="B64" t="s">
        <v>73</v>
      </c>
      <c r="C64" t="s">
        <v>74</v>
      </c>
      <c r="E64" t="str">
        <f>"009942278687"</f>
        <v>009942278687</v>
      </c>
      <c r="F64" s="3">
        <v>44806</v>
      </c>
      <c r="G64">
        <v>202306</v>
      </c>
      <c r="H64" t="s">
        <v>87</v>
      </c>
      <c r="I64" t="s">
        <v>88</v>
      </c>
      <c r="J64" t="s">
        <v>336</v>
      </c>
      <c r="L64" t="s">
        <v>75</v>
      </c>
      <c r="M64" t="s">
        <v>76</v>
      </c>
      <c r="N64" t="s">
        <v>337</v>
      </c>
      <c r="O64" t="s">
        <v>81</v>
      </c>
      <c r="P64" t="str">
        <f>""</f>
        <v/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24.32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1.1000000000000001</v>
      </c>
      <c r="BJ64">
        <v>0.9</v>
      </c>
      <c r="BK64">
        <v>1.5</v>
      </c>
      <c r="BL64">
        <v>58.33</v>
      </c>
      <c r="BM64">
        <v>8.75</v>
      </c>
      <c r="BN64">
        <v>67.08</v>
      </c>
      <c r="BO64">
        <v>67.08</v>
      </c>
      <c r="BQ64" t="s">
        <v>338</v>
      </c>
      <c r="BR64" t="s">
        <v>82</v>
      </c>
      <c r="BS64" s="3">
        <v>44809</v>
      </c>
      <c r="BT64" s="4">
        <v>0.37638888888888888</v>
      </c>
      <c r="BU64" t="s">
        <v>339</v>
      </c>
      <c r="BV64" t="s">
        <v>84</v>
      </c>
      <c r="BY64">
        <v>4700.59</v>
      </c>
      <c r="BZ64" t="s">
        <v>116</v>
      </c>
      <c r="CA64" t="s">
        <v>340</v>
      </c>
      <c r="CC64" t="s">
        <v>76</v>
      </c>
      <c r="CD64">
        <v>2091</v>
      </c>
      <c r="CE64" t="s">
        <v>86</v>
      </c>
      <c r="CI64">
        <v>1</v>
      </c>
      <c r="CJ64">
        <v>1</v>
      </c>
      <c r="CK64">
        <v>22</v>
      </c>
    </row>
    <row r="65" spans="1:89" x14ac:dyDescent="0.3">
      <c r="A65" t="s">
        <v>72</v>
      </c>
      <c r="B65" t="s">
        <v>73</v>
      </c>
      <c r="C65" t="s">
        <v>74</v>
      </c>
      <c r="E65" t="str">
        <f>"009942560157"</f>
        <v>009942560157</v>
      </c>
      <c r="F65" s="3">
        <v>44809</v>
      </c>
      <c r="G65">
        <v>202306</v>
      </c>
      <c r="H65" t="s">
        <v>90</v>
      </c>
      <c r="I65" t="s">
        <v>91</v>
      </c>
      <c r="J65" t="s">
        <v>341</v>
      </c>
      <c r="L65" t="s">
        <v>342</v>
      </c>
      <c r="M65" t="s">
        <v>343</v>
      </c>
      <c r="N65" t="s">
        <v>344</v>
      </c>
      <c r="O65" t="s">
        <v>127</v>
      </c>
      <c r="P65" t="str">
        <f>"CPT0219450914"</f>
        <v>CPT0219450914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115.29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12.3</v>
      </c>
      <c r="BJ65">
        <v>21.7</v>
      </c>
      <c r="BK65">
        <v>22</v>
      </c>
      <c r="BL65">
        <v>281.77999999999997</v>
      </c>
      <c r="BM65">
        <v>42.27</v>
      </c>
      <c r="BN65">
        <v>324.05</v>
      </c>
      <c r="BO65">
        <v>324.05</v>
      </c>
      <c r="BP65" t="s">
        <v>345</v>
      </c>
      <c r="BQ65" t="s">
        <v>346</v>
      </c>
      <c r="BR65" t="s">
        <v>128</v>
      </c>
      <c r="BS65" s="3">
        <v>44811</v>
      </c>
      <c r="BT65" s="4">
        <v>0.45833333333333331</v>
      </c>
      <c r="BU65" t="s">
        <v>347</v>
      </c>
      <c r="BV65" t="s">
        <v>84</v>
      </c>
      <c r="BY65">
        <v>108683.74</v>
      </c>
      <c r="BZ65" t="s">
        <v>111</v>
      </c>
      <c r="CC65" t="s">
        <v>343</v>
      </c>
      <c r="CD65">
        <v>7005</v>
      </c>
      <c r="CE65" t="s">
        <v>86</v>
      </c>
      <c r="CI65">
        <v>4</v>
      </c>
      <c r="CJ65">
        <v>2</v>
      </c>
      <c r="CK65">
        <v>43</v>
      </c>
    </row>
    <row r="66" spans="1:89" x14ac:dyDescent="0.3">
      <c r="A66" t="s">
        <v>72</v>
      </c>
      <c r="B66" t="s">
        <v>73</v>
      </c>
      <c r="C66" t="s">
        <v>74</v>
      </c>
      <c r="E66" t="str">
        <f>"009942558861"</f>
        <v>009942558861</v>
      </c>
      <c r="F66" s="3">
        <v>44809</v>
      </c>
      <c r="G66">
        <v>202306</v>
      </c>
      <c r="H66" t="s">
        <v>90</v>
      </c>
      <c r="I66" t="s">
        <v>91</v>
      </c>
      <c r="J66" t="s">
        <v>147</v>
      </c>
      <c r="L66" t="s">
        <v>78</v>
      </c>
      <c r="M66" t="s">
        <v>79</v>
      </c>
      <c r="N66" t="s">
        <v>148</v>
      </c>
      <c r="O66" t="s">
        <v>127</v>
      </c>
      <c r="P66" t="str">
        <f>"INV185848"</f>
        <v>INV185848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75.09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3.5</v>
      </c>
      <c r="BJ66">
        <v>20.9</v>
      </c>
      <c r="BK66">
        <v>21</v>
      </c>
      <c r="BL66">
        <v>185.36</v>
      </c>
      <c r="BM66">
        <v>27.8</v>
      </c>
      <c r="BN66">
        <v>213.16</v>
      </c>
      <c r="BO66">
        <v>213.16</v>
      </c>
      <c r="BQ66" t="s">
        <v>348</v>
      </c>
      <c r="BR66" t="s">
        <v>150</v>
      </c>
      <c r="BS66" s="3">
        <v>44810</v>
      </c>
      <c r="BT66" s="4">
        <v>0.4680555555555555</v>
      </c>
      <c r="BU66" t="s">
        <v>349</v>
      </c>
      <c r="BV66" t="s">
        <v>84</v>
      </c>
      <c r="BY66">
        <v>104713.2</v>
      </c>
      <c r="BZ66" t="s">
        <v>111</v>
      </c>
      <c r="CA66" t="s">
        <v>350</v>
      </c>
      <c r="CC66" t="s">
        <v>79</v>
      </c>
      <c r="CD66">
        <v>6529</v>
      </c>
      <c r="CE66" t="s">
        <v>86</v>
      </c>
      <c r="CI66">
        <v>3</v>
      </c>
      <c r="CJ66">
        <v>1</v>
      </c>
      <c r="CK66">
        <v>41</v>
      </c>
    </row>
    <row r="67" spans="1:89" x14ac:dyDescent="0.3">
      <c r="A67" t="s">
        <v>72</v>
      </c>
      <c r="B67" t="s">
        <v>73</v>
      </c>
      <c r="C67" t="s">
        <v>74</v>
      </c>
      <c r="E67" t="str">
        <f>"009942358052"</f>
        <v>009942358052</v>
      </c>
      <c r="F67" s="3">
        <v>44809</v>
      </c>
      <c r="G67">
        <v>202306</v>
      </c>
      <c r="H67" t="s">
        <v>90</v>
      </c>
      <c r="I67" t="s">
        <v>91</v>
      </c>
      <c r="J67" t="s">
        <v>351</v>
      </c>
      <c r="L67" t="s">
        <v>352</v>
      </c>
      <c r="M67" t="s">
        <v>353</v>
      </c>
      <c r="N67" t="s">
        <v>354</v>
      </c>
      <c r="O67" t="s">
        <v>127</v>
      </c>
      <c r="P67" t="str">
        <f>""</f>
        <v/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15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69.95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12.1</v>
      </c>
      <c r="BJ67">
        <v>16.899999999999999</v>
      </c>
      <c r="BK67">
        <v>17</v>
      </c>
      <c r="BL67">
        <v>188.03</v>
      </c>
      <c r="BM67">
        <v>28.2</v>
      </c>
      <c r="BN67">
        <v>216.23</v>
      </c>
      <c r="BO67">
        <v>216.23</v>
      </c>
      <c r="BQ67" t="s">
        <v>355</v>
      </c>
      <c r="BR67" t="s">
        <v>129</v>
      </c>
      <c r="BS67" s="3">
        <v>44810</v>
      </c>
      <c r="BT67" s="4">
        <v>0.34027777777777773</v>
      </c>
      <c r="BU67" t="s">
        <v>356</v>
      </c>
      <c r="BV67" t="s">
        <v>84</v>
      </c>
      <c r="BY67">
        <v>84461.52</v>
      </c>
      <c r="BZ67" t="s">
        <v>131</v>
      </c>
      <c r="CC67" t="s">
        <v>353</v>
      </c>
      <c r="CD67">
        <v>6740</v>
      </c>
      <c r="CE67" t="s">
        <v>86</v>
      </c>
      <c r="CI67">
        <v>4</v>
      </c>
      <c r="CJ67">
        <v>1</v>
      </c>
      <c r="CK67">
        <v>44</v>
      </c>
    </row>
    <row r="68" spans="1:89" x14ac:dyDescent="0.3">
      <c r="A68" t="s">
        <v>72</v>
      </c>
      <c r="B68" t="s">
        <v>73</v>
      </c>
      <c r="C68" t="s">
        <v>74</v>
      </c>
      <c r="E68" t="str">
        <f>"009942358050"</f>
        <v>009942358050</v>
      </c>
      <c r="F68" s="3">
        <v>44809</v>
      </c>
      <c r="G68">
        <v>202306</v>
      </c>
      <c r="H68" t="s">
        <v>90</v>
      </c>
      <c r="I68" t="s">
        <v>91</v>
      </c>
      <c r="J68" t="s">
        <v>351</v>
      </c>
      <c r="L68" t="s">
        <v>189</v>
      </c>
      <c r="M68" t="s">
        <v>190</v>
      </c>
      <c r="N68" t="s">
        <v>148</v>
      </c>
      <c r="O68" t="s">
        <v>127</v>
      </c>
      <c r="P68" t="str">
        <f>"ATT ARIETE ZIBANE"</f>
        <v>ATT ARIETE ZIBANE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15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93.59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15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16.8</v>
      </c>
      <c r="BJ68">
        <v>10.8</v>
      </c>
      <c r="BK68">
        <v>17</v>
      </c>
      <c r="BL68">
        <v>259.73</v>
      </c>
      <c r="BM68">
        <v>38.96</v>
      </c>
      <c r="BN68">
        <v>298.69</v>
      </c>
      <c r="BO68">
        <v>298.69</v>
      </c>
      <c r="BQ68" t="s">
        <v>357</v>
      </c>
      <c r="BR68" t="s">
        <v>129</v>
      </c>
      <c r="BS68" s="3">
        <v>44813</v>
      </c>
      <c r="BT68" s="4">
        <v>0.38680555555555557</v>
      </c>
      <c r="BU68" t="s">
        <v>358</v>
      </c>
      <c r="BV68" t="s">
        <v>84</v>
      </c>
      <c r="BY68">
        <v>54000</v>
      </c>
      <c r="BZ68" t="s">
        <v>359</v>
      </c>
      <c r="CA68" t="s">
        <v>360</v>
      </c>
      <c r="CC68" t="s">
        <v>190</v>
      </c>
      <c r="CD68">
        <v>263</v>
      </c>
      <c r="CE68" t="s">
        <v>86</v>
      </c>
      <c r="CI68">
        <v>4</v>
      </c>
      <c r="CJ68">
        <v>4</v>
      </c>
      <c r="CK68">
        <v>43</v>
      </c>
    </row>
    <row r="69" spans="1:89" x14ac:dyDescent="0.3">
      <c r="A69" t="s">
        <v>72</v>
      </c>
      <c r="B69" t="s">
        <v>73</v>
      </c>
      <c r="C69" t="s">
        <v>74</v>
      </c>
      <c r="E69" t="str">
        <f>"009942358051"</f>
        <v>009942358051</v>
      </c>
      <c r="F69" s="3">
        <v>44809</v>
      </c>
      <c r="G69">
        <v>202306</v>
      </c>
      <c r="H69" t="s">
        <v>90</v>
      </c>
      <c r="I69" t="s">
        <v>91</v>
      </c>
      <c r="J69" t="s">
        <v>351</v>
      </c>
      <c r="L69" t="s">
        <v>157</v>
      </c>
      <c r="M69" t="s">
        <v>158</v>
      </c>
      <c r="N69" t="s">
        <v>361</v>
      </c>
      <c r="O69" t="s">
        <v>127</v>
      </c>
      <c r="P69" t="str">
        <f>""</f>
        <v/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15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92.44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13.9</v>
      </c>
      <c r="BJ69">
        <v>29.4</v>
      </c>
      <c r="BK69">
        <v>30</v>
      </c>
      <c r="BL69">
        <v>241.98</v>
      </c>
      <c r="BM69">
        <v>36.299999999999997</v>
      </c>
      <c r="BN69">
        <v>278.27999999999997</v>
      </c>
      <c r="BO69">
        <v>278.27999999999997</v>
      </c>
      <c r="BQ69" t="s">
        <v>362</v>
      </c>
      <c r="BS69" s="3">
        <v>44810</v>
      </c>
      <c r="BT69" s="4">
        <v>0.49305555555555558</v>
      </c>
      <c r="BU69" t="s">
        <v>363</v>
      </c>
      <c r="BV69" t="s">
        <v>84</v>
      </c>
      <c r="BY69">
        <v>146868.48000000001</v>
      </c>
      <c r="BZ69" t="s">
        <v>131</v>
      </c>
      <c r="CA69" t="s">
        <v>162</v>
      </c>
      <c r="CC69" t="s">
        <v>158</v>
      </c>
      <c r="CD69">
        <v>7200</v>
      </c>
      <c r="CE69" t="s">
        <v>86</v>
      </c>
      <c r="CI69">
        <v>4</v>
      </c>
      <c r="CJ69">
        <v>1</v>
      </c>
      <c r="CK69">
        <v>44</v>
      </c>
    </row>
    <row r="70" spans="1:89" x14ac:dyDescent="0.3">
      <c r="A70" t="s">
        <v>72</v>
      </c>
      <c r="B70" t="s">
        <v>73</v>
      </c>
      <c r="C70" t="s">
        <v>74</v>
      </c>
      <c r="E70" t="str">
        <f>"009942358048"</f>
        <v>009942358048</v>
      </c>
      <c r="F70" s="3">
        <v>44809</v>
      </c>
      <c r="G70">
        <v>202306</v>
      </c>
      <c r="H70" t="s">
        <v>90</v>
      </c>
      <c r="I70" t="s">
        <v>91</v>
      </c>
      <c r="J70" t="s">
        <v>351</v>
      </c>
      <c r="L70" t="s">
        <v>364</v>
      </c>
      <c r="M70" t="s">
        <v>365</v>
      </c>
      <c r="N70" t="s">
        <v>366</v>
      </c>
      <c r="O70" t="s">
        <v>127</v>
      </c>
      <c r="P70" t="str">
        <f>""</f>
        <v/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15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50.53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14.4</v>
      </c>
      <c r="BJ70">
        <v>17.100000000000001</v>
      </c>
      <c r="BK70">
        <v>18</v>
      </c>
      <c r="BL70">
        <v>141.44999999999999</v>
      </c>
      <c r="BM70">
        <v>21.22</v>
      </c>
      <c r="BN70">
        <v>162.66999999999999</v>
      </c>
      <c r="BO70">
        <v>162.66999999999999</v>
      </c>
      <c r="BP70" t="s">
        <v>367</v>
      </c>
      <c r="BQ70" t="s">
        <v>128</v>
      </c>
      <c r="BR70" t="s">
        <v>129</v>
      </c>
      <c r="BS70" s="3">
        <v>44812</v>
      </c>
      <c r="BT70" s="4">
        <v>0.42152777777777778</v>
      </c>
      <c r="BU70" t="s">
        <v>368</v>
      </c>
      <c r="BV70" t="s">
        <v>97</v>
      </c>
      <c r="BY70">
        <v>85527.360000000001</v>
      </c>
      <c r="BZ70" t="s">
        <v>131</v>
      </c>
      <c r="CA70" t="s">
        <v>369</v>
      </c>
      <c r="CC70" t="s">
        <v>365</v>
      </c>
      <c r="CD70">
        <v>7600</v>
      </c>
      <c r="CE70" t="s">
        <v>86</v>
      </c>
      <c r="CI70">
        <v>3</v>
      </c>
      <c r="CJ70">
        <v>3</v>
      </c>
      <c r="CK70">
        <v>42</v>
      </c>
    </row>
    <row r="71" spans="1:89" x14ac:dyDescent="0.3">
      <c r="A71" t="s">
        <v>72</v>
      </c>
      <c r="B71" t="s">
        <v>73</v>
      </c>
      <c r="C71" t="s">
        <v>74</v>
      </c>
      <c r="E71" t="str">
        <f>"009942358053"</f>
        <v>009942358053</v>
      </c>
      <c r="F71" s="3">
        <v>44809</v>
      </c>
      <c r="G71">
        <v>202306</v>
      </c>
      <c r="H71" t="s">
        <v>90</v>
      </c>
      <c r="I71" t="s">
        <v>91</v>
      </c>
      <c r="J71" t="s">
        <v>351</v>
      </c>
      <c r="L71" t="s">
        <v>189</v>
      </c>
      <c r="M71" t="s">
        <v>190</v>
      </c>
      <c r="N71" t="s">
        <v>370</v>
      </c>
      <c r="O71" t="s">
        <v>127</v>
      </c>
      <c r="P71" t="str">
        <f>""</f>
        <v/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15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84.91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15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10.5</v>
      </c>
      <c r="BJ71">
        <v>8.8000000000000007</v>
      </c>
      <c r="BK71">
        <v>11</v>
      </c>
      <c r="BL71">
        <v>238.91</v>
      </c>
      <c r="BM71">
        <v>35.840000000000003</v>
      </c>
      <c r="BN71">
        <v>274.75</v>
      </c>
      <c r="BO71">
        <v>274.75</v>
      </c>
      <c r="BP71" t="s">
        <v>371</v>
      </c>
      <c r="BQ71" t="s">
        <v>128</v>
      </c>
      <c r="BR71" t="s">
        <v>129</v>
      </c>
      <c r="BS71" s="3">
        <v>44811</v>
      </c>
      <c r="BT71" s="4">
        <v>0.62569444444444444</v>
      </c>
      <c r="BU71" t="s">
        <v>372</v>
      </c>
      <c r="BV71" t="s">
        <v>84</v>
      </c>
      <c r="BY71">
        <v>44152.5</v>
      </c>
      <c r="BZ71" t="s">
        <v>359</v>
      </c>
      <c r="CA71" t="s">
        <v>193</v>
      </c>
      <c r="CC71" t="s">
        <v>190</v>
      </c>
      <c r="CD71">
        <v>260</v>
      </c>
      <c r="CE71" t="s">
        <v>86</v>
      </c>
      <c r="CI71">
        <v>4</v>
      </c>
      <c r="CJ71">
        <v>2</v>
      </c>
      <c r="CK71">
        <v>43</v>
      </c>
    </row>
    <row r="72" spans="1:89" x14ac:dyDescent="0.3">
      <c r="A72" t="s">
        <v>72</v>
      </c>
      <c r="B72" t="s">
        <v>73</v>
      </c>
      <c r="C72" t="s">
        <v>74</v>
      </c>
      <c r="E72" t="str">
        <f>"009942278692"</f>
        <v>009942278692</v>
      </c>
      <c r="F72" s="3">
        <v>44809</v>
      </c>
      <c r="G72">
        <v>202306</v>
      </c>
      <c r="H72" t="s">
        <v>87</v>
      </c>
      <c r="I72" t="s">
        <v>88</v>
      </c>
      <c r="J72" t="s">
        <v>373</v>
      </c>
      <c r="L72" t="s">
        <v>220</v>
      </c>
      <c r="M72" t="s">
        <v>221</v>
      </c>
      <c r="N72" t="s">
        <v>374</v>
      </c>
      <c r="O72" t="s">
        <v>81</v>
      </c>
      <c r="P72" t="str">
        <f>""</f>
        <v/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24.32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0.2</v>
      </c>
      <c r="BJ72">
        <v>0.2</v>
      </c>
      <c r="BK72">
        <v>0.5</v>
      </c>
      <c r="BL72">
        <v>58.33</v>
      </c>
      <c r="BM72">
        <v>8.75</v>
      </c>
      <c r="BN72">
        <v>67.08</v>
      </c>
      <c r="BO72">
        <v>67.08</v>
      </c>
      <c r="BQ72" t="s">
        <v>103</v>
      </c>
      <c r="BR72" t="s">
        <v>82</v>
      </c>
      <c r="BS72" s="3">
        <v>44810</v>
      </c>
      <c r="BT72" s="4">
        <v>0.55208333333333337</v>
      </c>
      <c r="BU72" t="s">
        <v>375</v>
      </c>
      <c r="BV72" t="s">
        <v>97</v>
      </c>
      <c r="BY72">
        <v>766.08</v>
      </c>
      <c r="BZ72" t="s">
        <v>116</v>
      </c>
      <c r="CA72" t="s">
        <v>376</v>
      </c>
      <c r="CC72" t="s">
        <v>221</v>
      </c>
      <c r="CD72">
        <v>1422</v>
      </c>
      <c r="CE72" t="s">
        <v>86</v>
      </c>
      <c r="CI72">
        <v>1</v>
      </c>
      <c r="CJ72">
        <v>1</v>
      </c>
      <c r="CK72">
        <v>22</v>
      </c>
    </row>
    <row r="73" spans="1:89" x14ac:dyDescent="0.3">
      <c r="A73" t="s">
        <v>72</v>
      </c>
      <c r="B73" t="s">
        <v>73</v>
      </c>
      <c r="C73" t="s">
        <v>74</v>
      </c>
      <c r="E73" t="str">
        <f>"009942278693"</f>
        <v>009942278693</v>
      </c>
      <c r="F73" s="3">
        <v>44809</v>
      </c>
      <c r="G73">
        <v>202306</v>
      </c>
      <c r="H73" t="s">
        <v>87</v>
      </c>
      <c r="I73" t="s">
        <v>88</v>
      </c>
      <c r="J73" t="s">
        <v>373</v>
      </c>
      <c r="L73" t="s">
        <v>75</v>
      </c>
      <c r="M73" t="s">
        <v>76</v>
      </c>
      <c r="N73" t="s">
        <v>337</v>
      </c>
      <c r="O73" t="s">
        <v>81</v>
      </c>
      <c r="P73" t="str">
        <f>""</f>
        <v/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35.99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9.6</v>
      </c>
      <c r="BK73">
        <v>10</v>
      </c>
      <c r="BL73">
        <v>86.32</v>
      </c>
      <c r="BM73">
        <v>12.95</v>
      </c>
      <c r="BN73">
        <v>99.27</v>
      </c>
      <c r="BO73">
        <v>99.27</v>
      </c>
      <c r="BQ73" t="s">
        <v>338</v>
      </c>
      <c r="BR73" t="s">
        <v>82</v>
      </c>
      <c r="BS73" s="3">
        <v>44810</v>
      </c>
      <c r="BT73" s="4">
        <v>0.38680555555555557</v>
      </c>
      <c r="BU73" t="s">
        <v>339</v>
      </c>
      <c r="BV73" t="s">
        <v>84</v>
      </c>
      <c r="BY73">
        <v>48000</v>
      </c>
      <c r="BZ73" t="s">
        <v>116</v>
      </c>
      <c r="CA73" t="s">
        <v>340</v>
      </c>
      <c r="CC73" t="s">
        <v>76</v>
      </c>
      <c r="CD73">
        <v>2091</v>
      </c>
      <c r="CE73" t="s">
        <v>86</v>
      </c>
      <c r="CI73">
        <v>1</v>
      </c>
      <c r="CJ73">
        <v>1</v>
      </c>
      <c r="CK73">
        <v>22</v>
      </c>
    </row>
    <row r="74" spans="1:89" x14ac:dyDescent="0.3">
      <c r="A74" t="s">
        <v>72</v>
      </c>
      <c r="B74" t="s">
        <v>73</v>
      </c>
      <c r="C74" t="s">
        <v>74</v>
      </c>
      <c r="E74" t="str">
        <f>"009942358049"</f>
        <v>009942358049</v>
      </c>
      <c r="F74" s="3">
        <v>44809</v>
      </c>
      <c r="G74">
        <v>202306</v>
      </c>
      <c r="H74" t="s">
        <v>90</v>
      </c>
      <c r="I74" t="s">
        <v>91</v>
      </c>
      <c r="J74" t="s">
        <v>351</v>
      </c>
      <c r="L74" t="s">
        <v>377</v>
      </c>
      <c r="M74" t="s">
        <v>378</v>
      </c>
      <c r="N74" t="s">
        <v>379</v>
      </c>
      <c r="O74" t="s">
        <v>127</v>
      </c>
      <c r="P74" t="str">
        <f>""</f>
        <v/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15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80.33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22.1</v>
      </c>
      <c r="BJ74">
        <v>13.1</v>
      </c>
      <c r="BK74">
        <v>23</v>
      </c>
      <c r="BL74">
        <v>212.93</v>
      </c>
      <c r="BM74">
        <v>31.94</v>
      </c>
      <c r="BN74">
        <v>244.87</v>
      </c>
      <c r="BO74">
        <v>244.87</v>
      </c>
      <c r="BP74" t="s">
        <v>380</v>
      </c>
      <c r="BQ74" t="s">
        <v>128</v>
      </c>
      <c r="BR74" t="s">
        <v>129</v>
      </c>
      <c r="BS74" s="3">
        <v>44811</v>
      </c>
      <c r="BT74" s="4">
        <v>0.43055555555555558</v>
      </c>
      <c r="BU74" t="s">
        <v>381</v>
      </c>
      <c r="BV74" t="s">
        <v>97</v>
      </c>
      <c r="BY74">
        <v>65280</v>
      </c>
      <c r="BZ74" t="s">
        <v>382</v>
      </c>
      <c r="CA74" t="s">
        <v>383</v>
      </c>
      <c r="CC74" t="s">
        <v>378</v>
      </c>
      <c r="CD74">
        <v>7299</v>
      </c>
      <c r="CE74" t="s">
        <v>86</v>
      </c>
      <c r="CI74">
        <v>4</v>
      </c>
      <c r="CJ74">
        <v>2</v>
      </c>
      <c r="CK74">
        <v>44</v>
      </c>
    </row>
    <row r="75" spans="1:89" x14ac:dyDescent="0.3">
      <c r="A75" t="s">
        <v>72</v>
      </c>
      <c r="B75" t="s">
        <v>73</v>
      </c>
      <c r="C75" t="s">
        <v>74</v>
      </c>
      <c r="E75" t="str">
        <f>"009942558868"</f>
        <v>009942558868</v>
      </c>
      <c r="F75" s="3">
        <v>44810</v>
      </c>
      <c r="G75">
        <v>202306</v>
      </c>
      <c r="H75" t="s">
        <v>90</v>
      </c>
      <c r="I75" t="s">
        <v>91</v>
      </c>
      <c r="J75" t="s">
        <v>147</v>
      </c>
      <c r="L75" t="s">
        <v>330</v>
      </c>
      <c r="M75" t="s">
        <v>331</v>
      </c>
      <c r="N75" t="s">
        <v>148</v>
      </c>
      <c r="O75" t="s">
        <v>127</v>
      </c>
      <c r="P75" t="str">
        <f>"INV185901"</f>
        <v>INV185901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60.2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1.3</v>
      </c>
      <c r="BJ75">
        <v>8.1999999999999993</v>
      </c>
      <c r="BK75">
        <v>9</v>
      </c>
      <c r="BL75">
        <v>149.65</v>
      </c>
      <c r="BM75">
        <v>22.45</v>
      </c>
      <c r="BN75">
        <v>172.1</v>
      </c>
      <c r="BO75">
        <v>172.1</v>
      </c>
      <c r="BQ75" t="s">
        <v>384</v>
      </c>
      <c r="BR75" t="s">
        <v>150</v>
      </c>
      <c r="BS75" s="3">
        <v>44813</v>
      </c>
      <c r="BT75" s="4">
        <v>0.5805555555555556</v>
      </c>
      <c r="BU75" t="s">
        <v>385</v>
      </c>
      <c r="BV75" t="s">
        <v>97</v>
      </c>
      <c r="BY75">
        <v>40953</v>
      </c>
      <c r="BZ75" t="s">
        <v>111</v>
      </c>
      <c r="CA75" t="s">
        <v>386</v>
      </c>
      <c r="CC75" t="s">
        <v>331</v>
      </c>
      <c r="CD75">
        <v>157</v>
      </c>
      <c r="CE75" t="s">
        <v>86</v>
      </c>
      <c r="CI75">
        <v>3</v>
      </c>
      <c r="CJ75">
        <v>3</v>
      </c>
      <c r="CK75">
        <v>41</v>
      </c>
    </row>
    <row r="76" spans="1:89" x14ac:dyDescent="0.3">
      <c r="A76" t="s">
        <v>72</v>
      </c>
      <c r="B76" t="s">
        <v>73</v>
      </c>
      <c r="C76" t="s">
        <v>74</v>
      </c>
      <c r="E76" t="str">
        <f>"R009942558848"</f>
        <v>R009942558848</v>
      </c>
      <c r="F76" s="3">
        <v>44810</v>
      </c>
      <c r="G76">
        <v>202306</v>
      </c>
      <c r="H76" t="s">
        <v>257</v>
      </c>
      <c r="I76" t="s">
        <v>258</v>
      </c>
      <c r="J76" t="s">
        <v>148</v>
      </c>
      <c r="L76" t="s">
        <v>257</v>
      </c>
      <c r="M76" t="s">
        <v>258</v>
      </c>
      <c r="N76" t="s">
        <v>387</v>
      </c>
      <c r="O76" t="s">
        <v>127</v>
      </c>
      <c r="P76" t="str">
        <f>"INV184002"</f>
        <v>INV184002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84.91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0.1</v>
      </c>
      <c r="BJ76">
        <v>0.9</v>
      </c>
      <c r="BK76">
        <v>1</v>
      </c>
      <c r="BL76">
        <v>208.91</v>
      </c>
      <c r="BM76">
        <v>31.34</v>
      </c>
      <c r="BN76">
        <v>240.25</v>
      </c>
      <c r="BO76">
        <v>240.25</v>
      </c>
      <c r="BQ76">
        <v>723921631</v>
      </c>
      <c r="BR76" t="s">
        <v>387</v>
      </c>
      <c r="BS76" s="3">
        <v>44811</v>
      </c>
      <c r="BT76" s="4">
        <v>0.33333333333333331</v>
      </c>
      <c r="BU76" t="s">
        <v>388</v>
      </c>
      <c r="BV76" t="s">
        <v>84</v>
      </c>
      <c r="BY76">
        <v>4731.4799999999996</v>
      </c>
      <c r="CC76" t="s">
        <v>258</v>
      </c>
      <c r="CD76">
        <v>2302</v>
      </c>
      <c r="CE76" t="s">
        <v>86</v>
      </c>
      <c r="CI76">
        <v>4</v>
      </c>
      <c r="CJ76">
        <v>1</v>
      </c>
      <c r="CK76">
        <v>43</v>
      </c>
    </row>
    <row r="77" spans="1:89" x14ac:dyDescent="0.3">
      <c r="A77" t="s">
        <v>72</v>
      </c>
      <c r="B77" t="s">
        <v>73</v>
      </c>
      <c r="C77" t="s">
        <v>74</v>
      </c>
      <c r="E77" t="str">
        <f>"009942558867"</f>
        <v>009942558867</v>
      </c>
      <c r="F77" s="3">
        <v>44810</v>
      </c>
      <c r="G77">
        <v>202306</v>
      </c>
      <c r="H77" t="s">
        <v>90</v>
      </c>
      <c r="I77" t="s">
        <v>91</v>
      </c>
      <c r="J77" t="s">
        <v>147</v>
      </c>
      <c r="L77" t="s">
        <v>389</v>
      </c>
      <c r="M77" t="s">
        <v>390</v>
      </c>
      <c r="N77" t="s">
        <v>148</v>
      </c>
      <c r="O77" t="s">
        <v>107</v>
      </c>
      <c r="P77" t="str">
        <f>"INV185906"</f>
        <v>INV185906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58.37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0.1</v>
      </c>
      <c r="BJ77">
        <v>0.8</v>
      </c>
      <c r="BK77">
        <v>1</v>
      </c>
      <c r="BL77">
        <v>140.01</v>
      </c>
      <c r="BM77">
        <v>21</v>
      </c>
      <c r="BN77">
        <v>161.01</v>
      </c>
      <c r="BO77">
        <v>161.01</v>
      </c>
      <c r="BQ77" t="s">
        <v>391</v>
      </c>
      <c r="BR77" t="s">
        <v>150</v>
      </c>
      <c r="BS77" s="3">
        <v>44811</v>
      </c>
      <c r="BT77" s="4">
        <v>0.57916666666666672</v>
      </c>
      <c r="BU77" t="s">
        <v>392</v>
      </c>
      <c r="BV77" t="s">
        <v>97</v>
      </c>
      <c r="BY77">
        <v>3767.51</v>
      </c>
      <c r="BZ77" t="s">
        <v>111</v>
      </c>
      <c r="CA77" t="s">
        <v>393</v>
      </c>
      <c r="CC77" t="s">
        <v>390</v>
      </c>
      <c r="CD77">
        <v>1687</v>
      </c>
      <c r="CE77" t="s">
        <v>86</v>
      </c>
      <c r="CI77">
        <v>1</v>
      </c>
      <c r="CJ77">
        <v>1</v>
      </c>
      <c r="CK77">
        <v>31</v>
      </c>
    </row>
    <row r="78" spans="1:89" x14ac:dyDescent="0.3">
      <c r="A78" t="s">
        <v>72</v>
      </c>
      <c r="B78" t="s">
        <v>73</v>
      </c>
      <c r="C78" t="s">
        <v>74</v>
      </c>
      <c r="E78" t="str">
        <f>"009942558869"</f>
        <v>009942558869</v>
      </c>
      <c r="F78" s="3">
        <v>44810</v>
      </c>
      <c r="G78">
        <v>202306</v>
      </c>
      <c r="H78" t="s">
        <v>90</v>
      </c>
      <c r="I78" t="s">
        <v>91</v>
      </c>
      <c r="J78" t="s">
        <v>147</v>
      </c>
      <c r="L78" t="s">
        <v>118</v>
      </c>
      <c r="M78" t="s">
        <v>119</v>
      </c>
      <c r="N78" t="s">
        <v>394</v>
      </c>
      <c r="O78" t="s">
        <v>107</v>
      </c>
      <c r="P78" t="str">
        <f>"INV185899"</f>
        <v>INV185899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58.37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0.6</v>
      </c>
      <c r="BJ78">
        <v>2.8</v>
      </c>
      <c r="BK78">
        <v>3</v>
      </c>
      <c r="BL78">
        <v>140.01</v>
      </c>
      <c r="BM78">
        <v>21</v>
      </c>
      <c r="BN78">
        <v>161.01</v>
      </c>
      <c r="BO78">
        <v>161.01</v>
      </c>
      <c r="BQ78" t="s">
        <v>395</v>
      </c>
      <c r="BR78" t="s">
        <v>150</v>
      </c>
      <c r="BS78" s="3">
        <v>44811</v>
      </c>
      <c r="BT78" s="4">
        <v>0.53472222222222221</v>
      </c>
      <c r="BU78" t="s">
        <v>396</v>
      </c>
      <c r="BV78" t="s">
        <v>84</v>
      </c>
      <c r="BY78">
        <v>14064.05</v>
      </c>
      <c r="BZ78" t="s">
        <v>111</v>
      </c>
      <c r="CA78" t="s">
        <v>397</v>
      </c>
      <c r="CC78" t="s">
        <v>119</v>
      </c>
      <c r="CD78">
        <v>81</v>
      </c>
      <c r="CE78" t="s">
        <v>86</v>
      </c>
      <c r="CI78">
        <v>1</v>
      </c>
      <c r="CJ78">
        <v>1</v>
      </c>
      <c r="CK78">
        <v>31</v>
      </c>
    </row>
    <row r="79" spans="1:89" x14ac:dyDescent="0.3">
      <c r="A79" t="s">
        <v>72</v>
      </c>
      <c r="B79" t="s">
        <v>73</v>
      </c>
      <c r="C79" t="s">
        <v>74</v>
      </c>
      <c r="E79" t="str">
        <f>"009942558866"</f>
        <v>009942558866</v>
      </c>
      <c r="F79" s="3">
        <v>44810</v>
      </c>
      <c r="G79">
        <v>202306</v>
      </c>
      <c r="H79" t="s">
        <v>90</v>
      </c>
      <c r="I79" t="s">
        <v>91</v>
      </c>
      <c r="J79" t="s">
        <v>147</v>
      </c>
      <c r="L79" t="s">
        <v>75</v>
      </c>
      <c r="M79" t="s">
        <v>76</v>
      </c>
      <c r="N79" t="s">
        <v>398</v>
      </c>
      <c r="O79" t="s">
        <v>107</v>
      </c>
      <c r="P79" t="str">
        <f>"INV185896"</f>
        <v>INV185896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58.37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0.1</v>
      </c>
      <c r="BJ79">
        <v>1</v>
      </c>
      <c r="BK79">
        <v>1</v>
      </c>
      <c r="BL79">
        <v>140.01</v>
      </c>
      <c r="BM79">
        <v>21</v>
      </c>
      <c r="BN79">
        <v>161.01</v>
      </c>
      <c r="BO79">
        <v>161.01</v>
      </c>
      <c r="BQ79" t="s">
        <v>103</v>
      </c>
      <c r="BR79" t="s">
        <v>150</v>
      </c>
      <c r="BS79" s="3">
        <v>44811</v>
      </c>
      <c r="BT79" s="4">
        <v>0.44166666666666665</v>
      </c>
      <c r="BU79" t="s">
        <v>399</v>
      </c>
      <c r="BV79" t="s">
        <v>84</v>
      </c>
      <c r="BY79">
        <v>5019.84</v>
      </c>
      <c r="BZ79" t="s">
        <v>111</v>
      </c>
      <c r="CA79" t="s">
        <v>400</v>
      </c>
      <c r="CC79" t="s">
        <v>76</v>
      </c>
      <c r="CD79">
        <v>2065</v>
      </c>
      <c r="CE79" t="s">
        <v>86</v>
      </c>
      <c r="CI79">
        <v>1</v>
      </c>
      <c r="CJ79">
        <v>1</v>
      </c>
      <c r="CK79">
        <v>31</v>
      </c>
    </row>
    <row r="80" spans="1:89" x14ac:dyDescent="0.3">
      <c r="A80" t="s">
        <v>72</v>
      </c>
      <c r="B80" t="s">
        <v>73</v>
      </c>
      <c r="C80" t="s">
        <v>74</v>
      </c>
      <c r="E80" t="str">
        <f>"009942558865"</f>
        <v>009942558865</v>
      </c>
      <c r="F80" s="3">
        <v>44810</v>
      </c>
      <c r="G80">
        <v>202306</v>
      </c>
      <c r="H80" t="s">
        <v>90</v>
      </c>
      <c r="I80" t="s">
        <v>91</v>
      </c>
      <c r="J80" t="s">
        <v>147</v>
      </c>
      <c r="L80" t="s">
        <v>189</v>
      </c>
      <c r="M80" t="s">
        <v>190</v>
      </c>
      <c r="N80" t="s">
        <v>401</v>
      </c>
      <c r="O80" t="s">
        <v>127</v>
      </c>
      <c r="P80" t="str">
        <f>"INV185894"</f>
        <v>INV185894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84.91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3.3</v>
      </c>
      <c r="BJ80">
        <v>8.3000000000000007</v>
      </c>
      <c r="BK80">
        <v>9</v>
      </c>
      <c r="BL80">
        <v>208.91</v>
      </c>
      <c r="BM80">
        <v>31.34</v>
      </c>
      <c r="BN80">
        <v>240.25</v>
      </c>
      <c r="BO80">
        <v>240.25</v>
      </c>
      <c r="BQ80" t="s">
        <v>402</v>
      </c>
      <c r="BR80" t="s">
        <v>150</v>
      </c>
      <c r="BS80" s="3">
        <v>44812</v>
      </c>
      <c r="BT80" s="4">
        <v>0.70833333333333337</v>
      </c>
      <c r="BU80" t="s">
        <v>403</v>
      </c>
      <c r="BV80" t="s">
        <v>84</v>
      </c>
      <c r="BY80">
        <v>41545.65</v>
      </c>
      <c r="BZ80" t="s">
        <v>111</v>
      </c>
      <c r="CA80" t="s">
        <v>193</v>
      </c>
      <c r="CC80" t="s">
        <v>190</v>
      </c>
      <c r="CD80">
        <v>216</v>
      </c>
      <c r="CE80" t="s">
        <v>86</v>
      </c>
      <c r="CI80">
        <v>4</v>
      </c>
      <c r="CJ80">
        <v>2</v>
      </c>
      <c r="CK80">
        <v>43</v>
      </c>
    </row>
    <row r="81" spans="1:89" x14ac:dyDescent="0.3">
      <c r="A81" t="s">
        <v>72</v>
      </c>
      <c r="B81" t="s">
        <v>73</v>
      </c>
      <c r="C81" t="s">
        <v>74</v>
      </c>
      <c r="E81" t="str">
        <f>"009942558864"</f>
        <v>009942558864</v>
      </c>
      <c r="F81" s="3">
        <v>44810</v>
      </c>
      <c r="G81">
        <v>202306</v>
      </c>
      <c r="H81" t="s">
        <v>90</v>
      </c>
      <c r="I81" t="s">
        <v>91</v>
      </c>
      <c r="J81" t="s">
        <v>147</v>
      </c>
      <c r="L81" t="s">
        <v>118</v>
      </c>
      <c r="M81" t="s">
        <v>119</v>
      </c>
      <c r="N81" t="s">
        <v>148</v>
      </c>
      <c r="O81" t="s">
        <v>81</v>
      </c>
      <c r="P81" t="str">
        <f>"AVO:20941"</f>
        <v>AVO:20941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54.47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0.7</v>
      </c>
      <c r="BJ81">
        <v>3.2</v>
      </c>
      <c r="BK81">
        <v>3.5</v>
      </c>
      <c r="BL81">
        <v>130.65</v>
      </c>
      <c r="BM81">
        <v>19.600000000000001</v>
      </c>
      <c r="BN81">
        <v>150.25</v>
      </c>
      <c r="BO81">
        <v>150.25</v>
      </c>
      <c r="BQ81" t="s">
        <v>404</v>
      </c>
      <c r="BR81" t="s">
        <v>150</v>
      </c>
      <c r="BS81" s="3">
        <v>44811</v>
      </c>
      <c r="BT81" s="4">
        <v>0.3888888888888889</v>
      </c>
      <c r="BU81" t="s">
        <v>405</v>
      </c>
      <c r="BV81" t="s">
        <v>84</v>
      </c>
      <c r="BY81">
        <v>15948.66</v>
      </c>
      <c r="BZ81" t="s">
        <v>116</v>
      </c>
      <c r="CA81" t="s">
        <v>406</v>
      </c>
      <c r="CC81" t="s">
        <v>119</v>
      </c>
      <c r="CD81">
        <v>145</v>
      </c>
      <c r="CE81" t="s">
        <v>86</v>
      </c>
      <c r="CI81">
        <v>1</v>
      </c>
      <c r="CJ81">
        <v>1</v>
      </c>
      <c r="CK81">
        <v>21</v>
      </c>
    </row>
    <row r="82" spans="1:89" x14ac:dyDescent="0.3">
      <c r="A82" t="s">
        <v>72</v>
      </c>
      <c r="B82" t="s">
        <v>73</v>
      </c>
      <c r="C82" t="s">
        <v>74</v>
      </c>
      <c r="E82" t="str">
        <f>"009942558863"</f>
        <v>009942558863</v>
      </c>
      <c r="F82" s="3">
        <v>44810</v>
      </c>
      <c r="G82">
        <v>202306</v>
      </c>
      <c r="H82" t="s">
        <v>90</v>
      </c>
      <c r="I82" t="s">
        <v>91</v>
      </c>
      <c r="J82" t="s">
        <v>147</v>
      </c>
      <c r="L82" t="s">
        <v>407</v>
      </c>
      <c r="M82" t="s">
        <v>408</v>
      </c>
      <c r="N82" t="s">
        <v>148</v>
      </c>
      <c r="O82" t="s">
        <v>127</v>
      </c>
      <c r="P82" t="str">
        <f>"INV185867"</f>
        <v>INV185867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84.91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2.8</v>
      </c>
      <c r="BJ82">
        <v>12.1</v>
      </c>
      <c r="BK82">
        <v>13</v>
      </c>
      <c r="BL82">
        <v>208.91</v>
      </c>
      <c r="BM82">
        <v>31.34</v>
      </c>
      <c r="BN82">
        <v>240.25</v>
      </c>
      <c r="BO82">
        <v>240.25</v>
      </c>
      <c r="BQ82" t="s">
        <v>409</v>
      </c>
      <c r="BR82" t="s">
        <v>150</v>
      </c>
      <c r="BS82" s="3">
        <v>44812</v>
      </c>
      <c r="BT82" s="4">
        <v>0.47291666666666665</v>
      </c>
      <c r="BU82" t="s">
        <v>410</v>
      </c>
      <c r="BV82" t="s">
        <v>84</v>
      </c>
      <c r="BY82">
        <v>60353.3</v>
      </c>
      <c r="BZ82" t="s">
        <v>111</v>
      </c>
      <c r="CA82" t="s">
        <v>411</v>
      </c>
      <c r="CC82" t="s">
        <v>408</v>
      </c>
      <c r="CD82">
        <v>9700</v>
      </c>
      <c r="CE82" t="s">
        <v>86</v>
      </c>
      <c r="CI82">
        <v>4</v>
      </c>
      <c r="CJ82">
        <v>2</v>
      </c>
      <c r="CK82">
        <v>43</v>
      </c>
    </row>
    <row r="83" spans="1:89" x14ac:dyDescent="0.3">
      <c r="A83" t="s">
        <v>72</v>
      </c>
      <c r="B83" t="s">
        <v>73</v>
      </c>
      <c r="C83" t="s">
        <v>74</v>
      </c>
      <c r="E83" t="str">
        <f>"009942751734"</f>
        <v>009942751734</v>
      </c>
      <c r="F83" s="3">
        <v>44810</v>
      </c>
      <c r="G83">
        <v>202306</v>
      </c>
      <c r="H83" t="s">
        <v>75</v>
      </c>
      <c r="I83" t="s">
        <v>76</v>
      </c>
      <c r="J83" t="s">
        <v>412</v>
      </c>
      <c r="L83" t="s">
        <v>87</v>
      </c>
      <c r="M83" t="s">
        <v>88</v>
      </c>
      <c r="N83" t="s">
        <v>89</v>
      </c>
      <c r="O83" t="s">
        <v>81</v>
      </c>
      <c r="P83" t="str">
        <f>"JNX0219453944"</f>
        <v>JNX0219453944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24.32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58.33</v>
      </c>
      <c r="BM83">
        <v>8.75</v>
      </c>
      <c r="BN83">
        <v>67.08</v>
      </c>
      <c r="BO83">
        <v>67.08</v>
      </c>
      <c r="BQ83" t="s">
        <v>148</v>
      </c>
      <c r="BR83" t="s">
        <v>327</v>
      </c>
      <c r="BS83" s="3">
        <v>44811</v>
      </c>
      <c r="BT83" s="4">
        <v>0.31944444444444448</v>
      </c>
      <c r="BU83" t="s">
        <v>413</v>
      </c>
      <c r="BV83" t="s">
        <v>84</v>
      </c>
      <c r="BY83">
        <v>1200</v>
      </c>
      <c r="BZ83" t="s">
        <v>116</v>
      </c>
      <c r="CC83" t="s">
        <v>88</v>
      </c>
      <c r="CD83">
        <v>1620</v>
      </c>
      <c r="CE83" t="s">
        <v>86</v>
      </c>
      <c r="CI83">
        <v>1</v>
      </c>
      <c r="CJ83">
        <v>1</v>
      </c>
      <c r="CK83">
        <v>22</v>
      </c>
    </row>
    <row r="84" spans="1:89" x14ac:dyDescent="0.3">
      <c r="A84" t="s">
        <v>72</v>
      </c>
      <c r="B84" t="s">
        <v>73</v>
      </c>
      <c r="C84" t="s">
        <v>74</v>
      </c>
      <c r="E84" t="str">
        <f>"009942278696"</f>
        <v>009942278696</v>
      </c>
      <c r="F84" s="3">
        <v>44811</v>
      </c>
      <c r="G84">
        <v>202306</v>
      </c>
      <c r="H84" t="s">
        <v>87</v>
      </c>
      <c r="I84" t="s">
        <v>88</v>
      </c>
      <c r="J84" t="s">
        <v>414</v>
      </c>
      <c r="L84" t="s">
        <v>75</v>
      </c>
      <c r="M84" t="s">
        <v>76</v>
      </c>
      <c r="N84" t="s">
        <v>415</v>
      </c>
      <c r="O84" t="s">
        <v>81</v>
      </c>
      <c r="P84" t="str">
        <f>"N A"</f>
        <v>N A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21.09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1.6</v>
      </c>
      <c r="BJ84">
        <v>0.8</v>
      </c>
      <c r="BK84">
        <v>2</v>
      </c>
      <c r="BL84">
        <v>55.1</v>
      </c>
      <c r="BM84">
        <v>8.27</v>
      </c>
      <c r="BN84">
        <v>63.37</v>
      </c>
      <c r="BO84">
        <v>63.37</v>
      </c>
      <c r="BQ84" t="s">
        <v>416</v>
      </c>
      <c r="BR84" t="s">
        <v>82</v>
      </c>
      <c r="BS84" s="3">
        <v>44812</v>
      </c>
      <c r="BT84" s="4">
        <v>0.32916666666666666</v>
      </c>
      <c r="BU84" t="s">
        <v>417</v>
      </c>
      <c r="BV84" t="s">
        <v>84</v>
      </c>
      <c r="BY84">
        <v>3796.76</v>
      </c>
      <c r="BZ84" t="s">
        <v>418</v>
      </c>
      <c r="CA84" t="s">
        <v>419</v>
      </c>
      <c r="CC84" t="s">
        <v>76</v>
      </c>
      <c r="CD84">
        <v>2175</v>
      </c>
      <c r="CE84" t="s">
        <v>86</v>
      </c>
      <c r="CI84">
        <v>0</v>
      </c>
      <c r="CJ84">
        <v>0</v>
      </c>
      <c r="CK84">
        <v>22</v>
      </c>
    </row>
    <row r="85" spans="1:89" x14ac:dyDescent="0.3">
      <c r="A85" t="s">
        <v>72</v>
      </c>
      <c r="B85" t="s">
        <v>73</v>
      </c>
      <c r="C85" t="s">
        <v>74</v>
      </c>
      <c r="E85" t="str">
        <f>"009942278695"</f>
        <v>009942278695</v>
      </c>
      <c r="F85" s="3">
        <v>44811</v>
      </c>
      <c r="G85">
        <v>202306</v>
      </c>
      <c r="H85" t="s">
        <v>87</v>
      </c>
      <c r="I85" t="s">
        <v>88</v>
      </c>
      <c r="J85" t="s">
        <v>414</v>
      </c>
      <c r="L85" t="s">
        <v>220</v>
      </c>
      <c r="M85" t="s">
        <v>221</v>
      </c>
      <c r="N85" t="s">
        <v>420</v>
      </c>
      <c r="O85" t="s">
        <v>81</v>
      </c>
      <c r="P85" t="str">
        <f>"N A"</f>
        <v>N A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21.09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0.7</v>
      </c>
      <c r="BJ85">
        <v>0.4</v>
      </c>
      <c r="BK85">
        <v>1</v>
      </c>
      <c r="BL85">
        <v>55.1</v>
      </c>
      <c r="BM85">
        <v>8.27</v>
      </c>
      <c r="BN85">
        <v>63.37</v>
      </c>
      <c r="BO85">
        <v>63.37</v>
      </c>
      <c r="BQ85" t="s">
        <v>421</v>
      </c>
      <c r="BR85" t="s">
        <v>82</v>
      </c>
      <c r="BS85" s="3">
        <v>44812</v>
      </c>
      <c r="BT85" s="4">
        <v>0.40763888888888888</v>
      </c>
      <c r="BU85" t="s">
        <v>422</v>
      </c>
      <c r="BV85" t="s">
        <v>84</v>
      </c>
      <c r="BY85">
        <v>2069.7600000000002</v>
      </c>
      <c r="BZ85" t="s">
        <v>418</v>
      </c>
      <c r="CA85" t="s">
        <v>423</v>
      </c>
      <c r="CC85" t="s">
        <v>221</v>
      </c>
      <c r="CD85">
        <v>1401</v>
      </c>
      <c r="CE85" t="s">
        <v>86</v>
      </c>
      <c r="CI85">
        <v>1</v>
      </c>
      <c r="CJ85">
        <v>1</v>
      </c>
      <c r="CK85">
        <v>22</v>
      </c>
    </row>
    <row r="86" spans="1:89" x14ac:dyDescent="0.3">
      <c r="A86" t="s">
        <v>72</v>
      </c>
      <c r="B86" t="s">
        <v>73</v>
      </c>
      <c r="C86" t="s">
        <v>74</v>
      </c>
      <c r="E86" t="str">
        <f>"009942278697"</f>
        <v>009942278697</v>
      </c>
      <c r="F86" s="3">
        <v>44811</v>
      </c>
      <c r="G86">
        <v>202306</v>
      </c>
      <c r="H86" t="s">
        <v>87</v>
      </c>
      <c r="I86" t="s">
        <v>88</v>
      </c>
      <c r="J86" t="s">
        <v>414</v>
      </c>
      <c r="L86" t="s">
        <v>330</v>
      </c>
      <c r="M86" t="s">
        <v>331</v>
      </c>
      <c r="N86" t="s">
        <v>424</v>
      </c>
      <c r="O86" t="s">
        <v>81</v>
      </c>
      <c r="P86" t="str">
        <f>"N A"</f>
        <v>N A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26.99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0.9</v>
      </c>
      <c r="BJ86">
        <v>1.2</v>
      </c>
      <c r="BK86">
        <v>1.5</v>
      </c>
      <c r="BL86">
        <v>70.53</v>
      </c>
      <c r="BM86">
        <v>10.58</v>
      </c>
      <c r="BN86">
        <v>81.11</v>
      </c>
      <c r="BO86">
        <v>81.11</v>
      </c>
      <c r="BQ86" t="s">
        <v>425</v>
      </c>
      <c r="BR86" t="s">
        <v>82</v>
      </c>
      <c r="BS86" s="3">
        <v>44812</v>
      </c>
      <c r="BT86" s="4">
        <v>0.41111111111111115</v>
      </c>
      <c r="BU86" t="s">
        <v>426</v>
      </c>
      <c r="BV86" t="s">
        <v>84</v>
      </c>
      <c r="BY86">
        <v>5793.12</v>
      </c>
      <c r="BZ86" t="s">
        <v>418</v>
      </c>
      <c r="CA86" t="s">
        <v>427</v>
      </c>
      <c r="CC86" t="s">
        <v>331</v>
      </c>
      <c r="CD86">
        <v>46</v>
      </c>
      <c r="CE86" t="s">
        <v>86</v>
      </c>
      <c r="CI86">
        <v>1</v>
      </c>
      <c r="CJ86">
        <v>1</v>
      </c>
      <c r="CK86">
        <v>21</v>
      </c>
    </row>
    <row r="87" spans="1:89" x14ac:dyDescent="0.3">
      <c r="A87" t="s">
        <v>72</v>
      </c>
      <c r="B87" t="s">
        <v>73</v>
      </c>
      <c r="C87" t="s">
        <v>74</v>
      </c>
      <c r="E87" t="str">
        <f>"009942558871"</f>
        <v>009942558871</v>
      </c>
      <c r="F87" s="3">
        <v>44811</v>
      </c>
      <c r="G87">
        <v>202306</v>
      </c>
      <c r="H87" t="s">
        <v>90</v>
      </c>
      <c r="I87" t="s">
        <v>91</v>
      </c>
      <c r="J87" t="s">
        <v>147</v>
      </c>
      <c r="L87" t="s">
        <v>90</v>
      </c>
      <c r="M87" t="s">
        <v>91</v>
      </c>
      <c r="N87" t="s">
        <v>148</v>
      </c>
      <c r="O87" t="s">
        <v>127</v>
      </c>
      <c r="P87" t="str">
        <f>"INV185937"</f>
        <v>INV185937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40.28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3.1</v>
      </c>
      <c r="BJ87">
        <v>11.7</v>
      </c>
      <c r="BK87">
        <v>12</v>
      </c>
      <c r="BL87">
        <v>110.5</v>
      </c>
      <c r="BM87">
        <v>16.579999999999998</v>
      </c>
      <c r="BN87">
        <v>127.08</v>
      </c>
      <c r="BO87">
        <v>127.08</v>
      </c>
      <c r="BQ87" t="s">
        <v>428</v>
      </c>
      <c r="BR87" t="s">
        <v>150</v>
      </c>
      <c r="BS87" s="3">
        <v>44812</v>
      </c>
      <c r="BT87" s="4">
        <v>0.41666666666666669</v>
      </c>
      <c r="BU87" t="s">
        <v>429</v>
      </c>
      <c r="BV87" t="s">
        <v>84</v>
      </c>
      <c r="BY87">
        <v>58532.63</v>
      </c>
      <c r="BZ87" t="s">
        <v>430</v>
      </c>
      <c r="CA87" t="s">
        <v>165</v>
      </c>
      <c r="CC87" t="s">
        <v>91</v>
      </c>
      <c r="CD87">
        <v>8005</v>
      </c>
      <c r="CE87" t="s">
        <v>86</v>
      </c>
      <c r="CI87">
        <v>3</v>
      </c>
      <c r="CJ87">
        <v>1</v>
      </c>
      <c r="CK87">
        <v>42</v>
      </c>
    </row>
    <row r="88" spans="1:89" x14ac:dyDescent="0.3">
      <c r="A88" t="s">
        <v>72</v>
      </c>
      <c r="B88" t="s">
        <v>73</v>
      </c>
      <c r="C88" t="s">
        <v>74</v>
      </c>
      <c r="E88" t="str">
        <f>"009942558872"</f>
        <v>009942558872</v>
      </c>
      <c r="F88" s="3">
        <v>44811</v>
      </c>
      <c r="G88">
        <v>202306</v>
      </c>
      <c r="H88" t="s">
        <v>90</v>
      </c>
      <c r="I88" t="s">
        <v>91</v>
      </c>
      <c r="J88" t="s">
        <v>147</v>
      </c>
      <c r="L88" t="s">
        <v>87</v>
      </c>
      <c r="M88" t="s">
        <v>88</v>
      </c>
      <c r="N88" t="s">
        <v>431</v>
      </c>
      <c r="O88" t="s">
        <v>127</v>
      </c>
      <c r="P88" t="str">
        <f>"INV185928"</f>
        <v>INV185928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52.2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2.2000000000000002</v>
      </c>
      <c r="BJ88">
        <v>11.4</v>
      </c>
      <c r="BK88">
        <v>12</v>
      </c>
      <c r="BL88">
        <v>141.65</v>
      </c>
      <c r="BM88">
        <v>21.25</v>
      </c>
      <c r="BN88">
        <v>162.9</v>
      </c>
      <c r="BO88">
        <v>162.9</v>
      </c>
      <c r="BQ88" t="s">
        <v>432</v>
      </c>
      <c r="BR88" t="s">
        <v>150</v>
      </c>
      <c r="BS88" s="3">
        <v>44813</v>
      </c>
      <c r="BT88" s="4">
        <v>0.30486111111111108</v>
      </c>
      <c r="BU88" t="s">
        <v>433</v>
      </c>
      <c r="BV88" t="s">
        <v>84</v>
      </c>
      <c r="BY88">
        <v>56808.9</v>
      </c>
      <c r="BZ88" t="s">
        <v>434</v>
      </c>
      <c r="CA88" t="s">
        <v>435</v>
      </c>
      <c r="CC88" t="s">
        <v>88</v>
      </c>
      <c r="CD88">
        <v>1619</v>
      </c>
      <c r="CE88" t="s">
        <v>86</v>
      </c>
      <c r="CI88">
        <v>3</v>
      </c>
      <c r="CJ88">
        <v>2</v>
      </c>
      <c r="CK88">
        <v>41</v>
      </c>
    </row>
    <row r="89" spans="1:89" x14ac:dyDescent="0.3">
      <c r="A89" t="s">
        <v>72</v>
      </c>
      <c r="B89" t="s">
        <v>73</v>
      </c>
      <c r="C89" t="s">
        <v>74</v>
      </c>
      <c r="E89" t="str">
        <f>"009942558873"</f>
        <v>009942558873</v>
      </c>
      <c r="F89" s="3">
        <v>44811</v>
      </c>
      <c r="G89">
        <v>202306</v>
      </c>
      <c r="H89" t="s">
        <v>90</v>
      </c>
      <c r="I89" t="s">
        <v>91</v>
      </c>
      <c r="J89" t="s">
        <v>147</v>
      </c>
      <c r="L89" t="s">
        <v>75</v>
      </c>
      <c r="M89" t="s">
        <v>76</v>
      </c>
      <c r="N89" t="s">
        <v>148</v>
      </c>
      <c r="O89" t="s">
        <v>107</v>
      </c>
      <c r="P89" t="str">
        <f>"INV185953"</f>
        <v>INV185953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50.62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0.5</v>
      </c>
      <c r="BJ89">
        <v>0.2</v>
      </c>
      <c r="BK89">
        <v>1</v>
      </c>
      <c r="BL89">
        <v>132.26</v>
      </c>
      <c r="BM89">
        <v>19.84</v>
      </c>
      <c r="BN89">
        <v>152.1</v>
      </c>
      <c r="BO89">
        <v>152.1</v>
      </c>
      <c r="BQ89" t="s">
        <v>436</v>
      </c>
      <c r="BR89" t="s">
        <v>150</v>
      </c>
      <c r="BS89" s="3">
        <v>44812</v>
      </c>
      <c r="BT89" s="4">
        <v>0.52847222222222223</v>
      </c>
      <c r="BU89" t="s">
        <v>437</v>
      </c>
      <c r="BV89" t="s">
        <v>84</v>
      </c>
      <c r="BY89">
        <v>1200</v>
      </c>
      <c r="BZ89" t="s">
        <v>430</v>
      </c>
      <c r="CA89" t="s">
        <v>219</v>
      </c>
      <c r="CC89" t="s">
        <v>76</v>
      </c>
      <c r="CD89">
        <v>2161</v>
      </c>
      <c r="CE89" t="s">
        <v>86</v>
      </c>
      <c r="CI89">
        <v>1</v>
      </c>
      <c r="CJ89">
        <v>1</v>
      </c>
      <c r="CK89">
        <v>31</v>
      </c>
    </row>
    <row r="90" spans="1:89" x14ac:dyDescent="0.3">
      <c r="A90" t="s">
        <v>72</v>
      </c>
      <c r="B90" t="s">
        <v>73</v>
      </c>
      <c r="C90" t="s">
        <v>74</v>
      </c>
      <c r="E90" t="str">
        <f>"009942558874"</f>
        <v>009942558874</v>
      </c>
      <c r="F90" s="3">
        <v>44811</v>
      </c>
      <c r="G90">
        <v>202306</v>
      </c>
      <c r="H90" t="s">
        <v>90</v>
      </c>
      <c r="I90" t="s">
        <v>91</v>
      </c>
      <c r="J90" t="s">
        <v>147</v>
      </c>
      <c r="L90" t="s">
        <v>189</v>
      </c>
      <c r="M90" t="s">
        <v>190</v>
      </c>
      <c r="N90" t="s">
        <v>148</v>
      </c>
      <c r="O90" t="s">
        <v>127</v>
      </c>
      <c r="P90" t="str">
        <f>"REPLACEMENT"</f>
        <v>REPLACEMENT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73.63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0.4</v>
      </c>
      <c r="BJ90">
        <v>1</v>
      </c>
      <c r="BK90">
        <v>1</v>
      </c>
      <c r="BL90">
        <v>197.63</v>
      </c>
      <c r="BM90">
        <v>29.64</v>
      </c>
      <c r="BN90">
        <v>227.27</v>
      </c>
      <c r="BO90">
        <v>227.27</v>
      </c>
      <c r="BQ90" t="s">
        <v>315</v>
      </c>
      <c r="BR90" t="s">
        <v>150</v>
      </c>
      <c r="BS90" s="3">
        <v>44813</v>
      </c>
      <c r="BT90" s="4">
        <v>0.58611111111111114</v>
      </c>
      <c r="BU90" t="s">
        <v>438</v>
      </c>
      <c r="BV90" t="s">
        <v>84</v>
      </c>
      <c r="BY90">
        <v>4771.2</v>
      </c>
      <c r="BZ90" t="s">
        <v>434</v>
      </c>
      <c r="CA90" t="s">
        <v>193</v>
      </c>
      <c r="CC90" t="s">
        <v>190</v>
      </c>
      <c r="CD90">
        <v>216</v>
      </c>
      <c r="CE90" t="s">
        <v>86</v>
      </c>
      <c r="CI90">
        <v>4</v>
      </c>
      <c r="CJ90">
        <v>2</v>
      </c>
      <c r="CK90">
        <v>43</v>
      </c>
    </row>
    <row r="91" spans="1:89" x14ac:dyDescent="0.3">
      <c r="A91" t="s">
        <v>72</v>
      </c>
      <c r="B91" t="s">
        <v>73</v>
      </c>
      <c r="C91" t="s">
        <v>74</v>
      </c>
      <c r="E91" t="str">
        <f>"009942558870"</f>
        <v>009942558870</v>
      </c>
      <c r="F91" s="3">
        <v>44811</v>
      </c>
      <c r="G91">
        <v>202306</v>
      </c>
      <c r="H91" t="s">
        <v>90</v>
      </c>
      <c r="I91" t="s">
        <v>91</v>
      </c>
      <c r="J91" t="s">
        <v>147</v>
      </c>
      <c r="L91" t="s">
        <v>439</v>
      </c>
      <c r="M91" t="s">
        <v>440</v>
      </c>
      <c r="N91" t="s">
        <v>148</v>
      </c>
      <c r="O91" t="s">
        <v>107</v>
      </c>
      <c r="P91" t="str">
        <f>"INV185926"</f>
        <v>INV185926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52.3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0.1</v>
      </c>
      <c r="BJ91">
        <v>1.1000000000000001</v>
      </c>
      <c r="BK91">
        <v>2</v>
      </c>
      <c r="BL91">
        <v>136.66</v>
      </c>
      <c r="BM91">
        <v>20.5</v>
      </c>
      <c r="BN91">
        <v>157.16</v>
      </c>
      <c r="BO91">
        <v>157.16</v>
      </c>
      <c r="BQ91" t="s">
        <v>441</v>
      </c>
      <c r="BR91" t="s">
        <v>150</v>
      </c>
      <c r="BS91" s="3">
        <v>44812</v>
      </c>
      <c r="BT91" s="4">
        <v>0.62361111111111112</v>
      </c>
      <c r="BU91" t="s">
        <v>442</v>
      </c>
      <c r="BV91" t="s">
        <v>84</v>
      </c>
      <c r="BY91">
        <v>5312.4</v>
      </c>
      <c r="BZ91" t="s">
        <v>430</v>
      </c>
      <c r="CC91" t="s">
        <v>440</v>
      </c>
      <c r="CD91">
        <v>6600</v>
      </c>
      <c r="CE91" t="s">
        <v>86</v>
      </c>
      <c r="CI91">
        <v>1</v>
      </c>
      <c r="CJ91">
        <v>1</v>
      </c>
      <c r="CK91">
        <v>33</v>
      </c>
    </row>
    <row r="92" spans="1:89" x14ac:dyDescent="0.3">
      <c r="A92" t="s">
        <v>72</v>
      </c>
      <c r="B92" t="s">
        <v>73</v>
      </c>
      <c r="C92" t="s">
        <v>74</v>
      </c>
      <c r="E92" t="str">
        <f>"009942278708"</f>
        <v>009942278708</v>
      </c>
      <c r="F92" s="3">
        <v>44812</v>
      </c>
      <c r="G92">
        <v>202306</v>
      </c>
      <c r="H92" t="s">
        <v>87</v>
      </c>
      <c r="I92" t="s">
        <v>88</v>
      </c>
      <c r="J92" t="s">
        <v>414</v>
      </c>
      <c r="L92" t="s">
        <v>75</v>
      </c>
      <c r="M92" t="s">
        <v>76</v>
      </c>
      <c r="N92" t="s">
        <v>443</v>
      </c>
      <c r="O92" t="s">
        <v>81</v>
      </c>
      <c r="P92" t="str">
        <f>"J26921"</f>
        <v>J26921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38.79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2</v>
      </c>
      <c r="BI92">
        <v>5.2</v>
      </c>
      <c r="BJ92">
        <v>11.2</v>
      </c>
      <c r="BK92">
        <v>11.5</v>
      </c>
      <c r="BL92">
        <v>101.36</v>
      </c>
      <c r="BM92">
        <v>15.2</v>
      </c>
      <c r="BN92">
        <v>116.56</v>
      </c>
      <c r="BO92">
        <v>116.56</v>
      </c>
      <c r="BQ92" t="s">
        <v>444</v>
      </c>
      <c r="BR92" t="s">
        <v>82</v>
      </c>
      <c r="BS92" s="3">
        <v>44813</v>
      </c>
      <c r="BT92" s="4">
        <v>0.35694444444444445</v>
      </c>
      <c r="BU92" t="s">
        <v>445</v>
      </c>
      <c r="BV92" t="s">
        <v>84</v>
      </c>
      <c r="BY92">
        <v>56115.24</v>
      </c>
      <c r="BZ92" t="s">
        <v>116</v>
      </c>
      <c r="CA92" t="s">
        <v>340</v>
      </c>
      <c r="CC92" t="s">
        <v>76</v>
      </c>
      <c r="CD92">
        <v>2013</v>
      </c>
      <c r="CE92" t="s">
        <v>86</v>
      </c>
      <c r="CI92">
        <v>1</v>
      </c>
      <c r="CJ92">
        <v>1</v>
      </c>
      <c r="CK92">
        <v>22</v>
      </c>
    </row>
    <row r="93" spans="1:89" x14ac:dyDescent="0.3">
      <c r="A93" t="s">
        <v>72</v>
      </c>
      <c r="B93" t="s">
        <v>73</v>
      </c>
      <c r="C93" t="s">
        <v>74</v>
      </c>
      <c r="E93" t="str">
        <f>"009942278704"</f>
        <v>009942278704</v>
      </c>
      <c r="F93" s="3">
        <v>44812</v>
      </c>
      <c r="G93">
        <v>202306</v>
      </c>
      <c r="H93" t="s">
        <v>87</v>
      </c>
      <c r="I93" t="s">
        <v>88</v>
      </c>
      <c r="J93" t="s">
        <v>414</v>
      </c>
      <c r="L93" t="s">
        <v>75</v>
      </c>
      <c r="M93" t="s">
        <v>76</v>
      </c>
      <c r="N93" t="s">
        <v>446</v>
      </c>
      <c r="O93" t="s">
        <v>81</v>
      </c>
      <c r="P93" t="str">
        <f>"J27162"</f>
        <v>J27162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21.09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0.2</v>
      </c>
      <c r="BJ93">
        <v>0.5</v>
      </c>
      <c r="BK93">
        <v>0.5</v>
      </c>
      <c r="BL93">
        <v>55.1</v>
      </c>
      <c r="BM93">
        <v>8.27</v>
      </c>
      <c r="BN93">
        <v>63.37</v>
      </c>
      <c r="BO93">
        <v>63.37</v>
      </c>
      <c r="BQ93" t="s">
        <v>447</v>
      </c>
      <c r="BR93" t="s">
        <v>82</v>
      </c>
      <c r="BS93" s="3">
        <v>44813</v>
      </c>
      <c r="BT93" s="4">
        <v>0.36874999999999997</v>
      </c>
      <c r="BU93" t="s">
        <v>448</v>
      </c>
      <c r="BV93" t="s">
        <v>84</v>
      </c>
      <c r="BY93">
        <v>2364.77</v>
      </c>
      <c r="BZ93" t="s">
        <v>449</v>
      </c>
      <c r="CA93" t="s">
        <v>450</v>
      </c>
      <c r="CC93" t="s">
        <v>76</v>
      </c>
      <c r="CD93">
        <v>1724</v>
      </c>
      <c r="CE93" t="s">
        <v>86</v>
      </c>
      <c r="CI93">
        <v>1</v>
      </c>
      <c r="CJ93">
        <v>1</v>
      </c>
      <c r="CK93">
        <v>22</v>
      </c>
    </row>
    <row r="94" spans="1:89" x14ac:dyDescent="0.3">
      <c r="A94" t="s">
        <v>72</v>
      </c>
      <c r="B94" t="s">
        <v>73</v>
      </c>
      <c r="C94" t="s">
        <v>74</v>
      </c>
      <c r="E94" t="str">
        <f>"009942358055"</f>
        <v>009942358055</v>
      </c>
      <c r="F94" s="3">
        <v>44812</v>
      </c>
      <c r="G94">
        <v>202306</v>
      </c>
      <c r="H94" t="s">
        <v>90</v>
      </c>
      <c r="I94" t="s">
        <v>91</v>
      </c>
      <c r="J94" t="s">
        <v>351</v>
      </c>
      <c r="L94" t="s">
        <v>451</v>
      </c>
      <c r="M94" t="s">
        <v>452</v>
      </c>
      <c r="N94" t="s">
        <v>453</v>
      </c>
      <c r="O94" t="s">
        <v>127</v>
      </c>
      <c r="P94" t="str">
        <f>"REF:OESAR00155283 JOB11805"</f>
        <v>REF:OESAR00155283 JOB11805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15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73.63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8.8000000000000007</v>
      </c>
      <c r="BJ94">
        <v>9.1999999999999993</v>
      </c>
      <c r="BK94">
        <v>10</v>
      </c>
      <c r="BL94">
        <v>212.63</v>
      </c>
      <c r="BM94">
        <v>31.89</v>
      </c>
      <c r="BN94">
        <v>244.52</v>
      </c>
      <c r="BO94">
        <v>244.52</v>
      </c>
      <c r="BQ94" t="s">
        <v>128</v>
      </c>
      <c r="BR94" t="s">
        <v>129</v>
      </c>
      <c r="BS94" s="3">
        <v>44818</v>
      </c>
      <c r="BT94" s="4">
        <v>0.53472222222222221</v>
      </c>
      <c r="BU94" t="s">
        <v>454</v>
      </c>
      <c r="BV94" t="s">
        <v>84</v>
      </c>
      <c r="BY94">
        <v>45929.599999999999</v>
      </c>
      <c r="BZ94" t="s">
        <v>455</v>
      </c>
      <c r="CA94" t="s">
        <v>456</v>
      </c>
      <c r="CC94" t="s">
        <v>452</v>
      </c>
      <c r="CD94">
        <v>8870</v>
      </c>
      <c r="CE94" t="s">
        <v>86</v>
      </c>
      <c r="CI94">
        <v>4</v>
      </c>
      <c r="CJ94">
        <v>4</v>
      </c>
      <c r="CK94">
        <v>43</v>
      </c>
    </row>
    <row r="95" spans="1:89" x14ac:dyDescent="0.3">
      <c r="A95" t="s">
        <v>72</v>
      </c>
      <c r="B95" t="s">
        <v>73</v>
      </c>
      <c r="C95" t="s">
        <v>74</v>
      </c>
      <c r="E95" t="str">
        <f>"009942358056"</f>
        <v>009942358056</v>
      </c>
      <c r="F95" s="3">
        <v>44812</v>
      </c>
      <c r="G95">
        <v>202306</v>
      </c>
      <c r="H95" t="s">
        <v>90</v>
      </c>
      <c r="I95" t="s">
        <v>91</v>
      </c>
      <c r="J95" t="s">
        <v>351</v>
      </c>
      <c r="L95" t="s">
        <v>125</v>
      </c>
      <c r="M95" t="s">
        <v>125</v>
      </c>
      <c r="N95" t="s">
        <v>126</v>
      </c>
      <c r="O95" t="s">
        <v>127</v>
      </c>
      <c r="P95" t="str">
        <f>"REF:03SAR00280677 JOB11807"</f>
        <v>REF:03SAR00280677 JOB11807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15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57.65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8.6</v>
      </c>
      <c r="BJ95">
        <v>12.2</v>
      </c>
      <c r="BK95">
        <v>13</v>
      </c>
      <c r="BL95">
        <v>170.89</v>
      </c>
      <c r="BM95">
        <v>25.63</v>
      </c>
      <c r="BN95">
        <v>196.52</v>
      </c>
      <c r="BO95">
        <v>196.52</v>
      </c>
      <c r="BQ95" t="s">
        <v>128</v>
      </c>
      <c r="BR95" t="s">
        <v>129</v>
      </c>
      <c r="BS95" s="3">
        <v>44813</v>
      </c>
      <c r="BT95" s="4">
        <v>0.52569444444444446</v>
      </c>
      <c r="BU95" t="s">
        <v>130</v>
      </c>
      <c r="BV95" t="s">
        <v>84</v>
      </c>
      <c r="BY95">
        <v>61210.23</v>
      </c>
      <c r="BZ95" t="s">
        <v>457</v>
      </c>
      <c r="CA95" t="s">
        <v>132</v>
      </c>
      <c r="CC95" t="s">
        <v>125</v>
      </c>
      <c r="CD95">
        <v>7646</v>
      </c>
      <c r="CE95" t="s">
        <v>86</v>
      </c>
      <c r="CI95">
        <v>4</v>
      </c>
      <c r="CJ95">
        <v>1</v>
      </c>
      <c r="CK95">
        <v>44</v>
      </c>
    </row>
    <row r="96" spans="1:89" x14ac:dyDescent="0.3">
      <c r="A96" t="s">
        <v>72</v>
      </c>
      <c r="B96" t="s">
        <v>73</v>
      </c>
      <c r="C96" t="s">
        <v>74</v>
      </c>
      <c r="E96" t="str">
        <f>"009942358057"</f>
        <v>009942358057</v>
      </c>
      <c r="F96" s="3">
        <v>44812</v>
      </c>
      <c r="G96">
        <v>202306</v>
      </c>
      <c r="H96" t="s">
        <v>90</v>
      </c>
      <c r="I96" t="s">
        <v>91</v>
      </c>
      <c r="J96" t="s">
        <v>351</v>
      </c>
      <c r="L96" t="s">
        <v>458</v>
      </c>
      <c r="M96" t="s">
        <v>459</v>
      </c>
      <c r="N96" t="s">
        <v>460</v>
      </c>
      <c r="O96" t="s">
        <v>127</v>
      </c>
      <c r="P96" t="str">
        <f>"BPSAR00128093"</f>
        <v>BPSAR00128093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15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57.65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2.2000000000000002</v>
      </c>
      <c r="BJ96">
        <v>3.5</v>
      </c>
      <c r="BK96">
        <v>4</v>
      </c>
      <c r="BL96">
        <v>170.89</v>
      </c>
      <c r="BM96">
        <v>25.63</v>
      </c>
      <c r="BN96">
        <v>196.52</v>
      </c>
      <c r="BO96">
        <v>196.52</v>
      </c>
      <c r="BQ96" t="s">
        <v>128</v>
      </c>
      <c r="BR96" t="s">
        <v>129</v>
      </c>
      <c r="BS96" s="3">
        <v>44813</v>
      </c>
      <c r="BT96" s="4">
        <v>0.4201388888888889</v>
      </c>
      <c r="BU96" t="s">
        <v>461</v>
      </c>
      <c r="BV96" t="s">
        <v>84</v>
      </c>
      <c r="BY96">
        <v>17496</v>
      </c>
      <c r="BZ96" t="s">
        <v>455</v>
      </c>
      <c r="CC96" t="s">
        <v>459</v>
      </c>
      <c r="CD96">
        <v>7320</v>
      </c>
      <c r="CE96" t="s">
        <v>86</v>
      </c>
      <c r="CI96">
        <v>4</v>
      </c>
      <c r="CJ96">
        <v>1</v>
      </c>
      <c r="CK96">
        <v>44</v>
      </c>
    </row>
    <row r="97" spans="1:89" x14ac:dyDescent="0.3">
      <c r="A97" t="s">
        <v>72</v>
      </c>
      <c r="B97" t="s">
        <v>73</v>
      </c>
      <c r="C97" t="s">
        <v>74</v>
      </c>
      <c r="E97" t="str">
        <f>"009942558878"</f>
        <v>009942558878</v>
      </c>
      <c r="F97" s="3">
        <v>44812</v>
      </c>
      <c r="G97">
        <v>202306</v>
      </c>
      <c r="H97" t="s">
        <v>90</v>
      </c>
      <c r="I97" t="s">
        <v>91</v>
      </c>
      <c r="J97" t="s">
        <v>147</v>
      </c>
      <c r="L97" t="s">
        <v>462</v>
      </c>
      <c r="M97" t="s">
        <v>463</v>
      </c>
      <c r="N97" t="s">
        <v>148</v>
      </c>
      <c r="O97" t="s">
        <v>127</v>
      </c>
      <c r="P97" t="str">
        <f>"INV185985"</f>
        <v>INV185985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73.63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1.1000000000000001</v>
      </c>
      <c r="BJ97">
        <v>6.6</v>
      </c>
      <c r="BK97">
        <v>7</v>
      </c>
      <c r="BL97">
        <v>197.63</v>
      </c>
      <c r="BM97">
        <v>29.64</v>
      </c>
      <c r="BN97">
        <v>227.27</v>
      </c>
      <c r="BO97">
        <v>227.27</v>
      </c>
      <c r="BQ97" t="s">
        <v>464</v>
      </c>
      <c r="BR97" t="s">
        <v>150</v>
      </c>
      <c r="BS97" s="3">
        <v>44817</v>
      </c>
      <c r="BT97" s="4">
        <v>0.57986111111111105</v>
      </c>
      <c r="BU97" t="s">
        <v>465</v>
      </c>
      <c r="BV97" t="s">
        <v>84</v>
      </c>
      <c r="BY97">
        <v>32946</v>
      </c>
      <c r="BZ97" t="s">
        <v>430</v>
      </c>
      <c r="CC97" t="s">
        <v>463</v>
      </c>
      <c r="CD97">
        <v>4277</v>
      </c>
      <c r="CE97" t="s">
        <v>86</v>
      </c>
      <c r="CI97">
        <v>4</v>
      </c>
      <c r="CJ97">
        <v>3</v>
      </c>
      <c r="CK97">
        <v>43</v>
      </c>
    </row>
    <row r="98" spans="1:89" x14ac:dyDescent="0.3">
      <c r="A98" t="s">
        <v>72</v>
      </c>
      <c r="B98" t="s">
        <v>73</v>
      </c>
      <c r="C98" t="s">
        <v>74</v>
      </c>
      <c r="E98" t="str">
        <f>"009942558879"</f>
        <v>009942558879</v>
      </c>
      <c r="F98" s="3">
        <v>44812</v>
      </c>
      <c r="G98">
        <v>202306</v>
      </c>
      <c r="H98" t="s">
        <v>90</v>
      </c>
      <c r="I98" t="s">
        <v>91</v>
      </c>
      <c r="J98" t="s">
        <v>147</v>
      </c>
      <c r="L98" t="s">
        <v>466</v>
      </c>
      <c r="M98" t="s">
        <v>467</v>
      </c>
      <c r="N98" t="s">
        <v>468</v>
      </c>
      <c r="O98" t="s">
        <v>127</v>
      </c>
      <c r="P98" t="str">
        <f>""</f>
        <v/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73.63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1.1000000000000001</v>
      </c>
      <c r="BJ98">
        <v>3.7</v>
      </c>
      <c r="BK98">
        <v>4</v>
      </c>
      <c r="BL98">
        <v>197.63</v>
      </c>
      <c r="BM98">
        <v>29.64</v>
      </c>
      <c r="BN98">
        <v>227.27</v>
      </c>
      <c r="BO98">
        <v>227.27</v>
      </c>
      <c r="BQ98" t="s">
        <v>469</v>
      </c>
      <c r="BR98" t="s">
        <v>150</v>
      </c>
      <c r="BS98" s="3">
        <v>44817</v>
      </c>
      <c r="BT98" s="4">
        <v>0.4465277777777778</v>
      </c>
      <c r="BU98" t="s">
        <v>470</v>
      </c>
      <c r="BV98" t="s">
        <v>84</v>
      </c>
      <c r="BY98">
        <v>18314.099999999999</v>
      </c>
      <c r="BZ98" t="s">
        <v>430</v>
      </c>
      <c r="CC98" t="s">
        <v>467</v>
      </c>
      <c r="CD98">
        <v>7070</v>
      </c>
      <c r="CE98" t="s">
        <v>86</v>
      </c>
      <c r="CI98">
        <v>4</v>
      </c>
      <c r="CJ98">
        <v>3</v>
      </c>
      <c r="CK98">
        <v>43</v>
      </c>
    </row>
    <row r="99" spans="1:89" x14ac:dyDescent="0.3">
      <c r="A99" t="s">
        <v>72</v>
      </c>
      <c r="B99" t="s">
        <v>73</v>
      </c>
      <c r="C99" t="s">
        <v>74</v>
      </c>
      <c r="E99" t="str">
        <f>"009942558877"</f>
        <v>009942558877</v>
      </c>
      <c r="F99" s="3">
        <v>44812</v>
      </c>
      <c r="G99">
        <v>202306</v>
      </c>
      <c r="H99" t="s">
        <v>90</v>
      </c>
      <c r="I99" t="s">
        <v>91</v>
      </c>
      <c r="J99" t="s">
        <v>147</v>
      </c>
      <c r="L99" t="s">
        <v>231</v>
      </c>
      <c r="M99" t="s">
        <v>232</v>
      </c>
      <c r="N99" t="s">
        <v>148</v>
      </c>
      <c r="O99" t="s">
        <v>127</v>
      </c>
      <c r="P99" t="str">
        <f>"INV185982"</f>
        <v>INV185982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63.66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2.7</v>
      </c>
      <c r="BJ99">
        <v>18.899999999999999</v>
      </c>
      <c r="BK99">
        <v>19</v>
      </c>
      <c r="BL99">
        <v>171.58</v>
      </c>
      <c r="BM99">
        <v>25.74</v>
      </c>
      <c r="BN99">
        <v>197.32</v>
      </c>
      <c r="BO99">
        <v>197.32</v>
      </c>
      <c r="BQ99" t="s">
        <v>471</v>
      </c>
      <c r="BR99" t="s">
        <v>150</v>
      </c>
      <c r="BS99" s="3">
        <v>44813</v>
      </c>
      <c r="BT99" s="4">
        <v>0.44930555555555557</v>
      </c>
      <c r="BU99" t="s">
        <v>472</v>
      </c>
      <c r="BV99" t="s">
        <v>84</v>
      </c>
      <c r="BY99">
        <v>94533.08</v>
      </c>
      <c r="BZ99" t="s">
        <v>449</v>
      </c>
      <c r="CA99" t="s">
        <v>473</v>
      </c>
      <c r="CC99" t="s">
        <v>232</v>
      </c>
      <c r="CD99">
        <v>7151</v>
      </c>
      <c r="CE99" t="s">
        <v>86</v>
      </c>
      <c r="CI99">
        <v>4</v>
      </c>
      <c r="CJ99">
        <v>1</v>
      </c>
      <c r="CK99">
        <v>44</v>
      </c>
    </row>
    <row r="100" spans="1:89" x14ac:dyDescent="0.3">
      <c r="A100" t="s">
        <v>72</v>
      </c>
      <c r="B100" t="s">
        <v>73</v>
      </c>
      <c r="C100" t="s">
        <v>74</v>
      </c>
      <c r="E100" t="str">
        <f>"009942558876"</f>
        <v>009942558876</v>
      </c>
      <c r="F100" s="3">
        <v>44812</v>
      </c>
      <c r="G100">
        <v>202306</v>
      </c>
      <c r="H100" t="s">
        <v>90</v>
      </c>
      <c r="I100" t="s">
        <v>91</v>
      </c>
      <c r="J100" t="s">
        <v>147</v>
      </c>
      <c r="L100" t="s">
        <v>118</v>
      </c>
      <c r="M100" t="s">
        <v>119</v>
      </c>
      <c r="N100" t="s">
        <v>148</v>
      </c>
      <c r="O100" t="s">
        <v>107</v>
      </c>
      <c r="P100" t="str">
        <f>"INV185981"</f>
        <v>INV185981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75.930000000000007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1.2</v>
      </c>
      <c r="BJ100">
        <v>5.9</v>
      </c>
      <c r="BK100">
        <v>6</v>
      </c>
      <c r="BL100">
        <v>198.39</v>
      </c>
      <c r="BM100">
        <v>29.76</v>
      </c>
      <c r="BN100">
        <v>228.15</v>
      </c>
      <c r="BO100">
        <v>228.15</v>
      </c>
      <c r="BQ100" t="s">
        <v>474</v>
      </c>
      <c r="BR100" t="s">
        <v>150</v>
      </c>
      <c r="BS100" s="3">
        <v>44816</v>
      </c>
      <c r="BT100" s="4">
        <v>0.54166666666666663</v>
      </c>
      <c r="BU100" t="s">
        <v>475</v>
      </c>
      <c r="BV100" t="s">
        <v>97</v>
      </c>
      <c r="BY100">
        <v>29637</v>
      </c>
      <c r="BZ100" t="s">
        <v>430</v>
      </c>
      <c r="CC100" t="s">
        <v>119</v>
      </c>
      <c r="CD100">
        <v>182</v>
      </c>
      <c r="CE100" t="s">
        <v>86</v>
      </c>
      <c r="CI100">
        <v>1</v>
      </c>
      <c r="CJ100">
        <v>2</v>
      </c>
      <c r="CK100">
        <v>31</v>
      </c>
    </row>
    <row r="101" spans="1:89" x14ac:dyDescent="0.3">
      <c r="A101" t="s">
        <v>72</v>
      </c>
      <c r="B101" t="s">
        <v>73</v>
      </c>
      <c r="C101" t="s">
        <v>74</v>
      </c>
      <c r="E101" t="str">
        <f>"009942558875"</f>
        <v>009942558875</v>
      </c>
      <c r="F101" s="3">
        <v>44812</v>
      </c>
      <c r="G101">
        <v>202306</v>
      </c>
      <c r="H101" t="s">
        <v>90</v>
      </c>
      <c r="I101" t="s">
        <v>91</v>
      </c>
      <c r="J101" t="s">
        <v>147</v>
      </c>
      <c r="L101" t="s">
        <v>476</v>
      </c>
      <c r="M101" t="s">
        <v>477</v>
      </c>
      <c r="N101" t="s">
        <v>148</v>
      </c>
      <c r="O101" t="s">
        <v>127</v>
      </c>
      <c r="P101" t="str">
        <f>"INV185980"</f>
        <v>INV185980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73.63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0.6</v>
      </c>
      <c r="BJ101">
        <v>3.3</v>
      </c>
      <c r="BK101">
        <v>4</v>
      </c>
      <c r="BL101">
        <v>197.63</v>
      </c>
      <c r="BM101">
        <v>29.64</v>
      </c>
      <c r="BN101">
        <v>227.27</v>
      </c>
      <c r="BO101">
        <v>227.27</v>
      </c>
      <c r="BQ101" t="s">
        <v>478</v>
      </c>
      <c r="BR101" t="s">
        <v>150</v>
      </c>
      <c r="BS101" s="3">
        <v>44816</v>
      </c>
      <c r="BT101" s="4">
        <v>0.65625</v>
      </c>
      <c r="BU101" t="s">
        <v>479</v>
      </c>
      <c r="BV101" t="s">
        <v>84</v>
      </c>
      <c r="BY101">
        <v>16331.42</v>
      </c>
      <c r="BZ101" t="s">
        <v>430</v>
      </c>
      <c r="CA101" t="s">
        <v>480</v>
      </c>
      <c r="CC101" t="s">
        <v>477</v>
      </c>
      <c r="CD101">
        <v>1380</v>
      </c>
      <c r="CE101" t="s">
        <v>86</v>
      </c>
      <c r="CI101">
        <v>4</v>
      </c>
      <c r="CJ101">
        <v>2</v>
      </c>
      <c r="CK101">
        <v>43</v>
      </c>
    </row>
    <row r="102" spans="1:89" x14ac:dyDescent="0.3">
      <c r="A102" t="s">
        <v>72</v>
      </c>
      <c r="B102" t="s">
        <v>73</v>
      </c>
      <c r="C102" t="s">
        <v>74</v>
      </c>
      <c r="E102" t="str">
        <f>"009942358054"</f>
        <v>009942358054</v>
      </c>
      <c r="F102" s="3">
        <v>44812</v>
      </c>
      <c r="G102">
        <v>202306</v>
      </c>
      <c r="H102" t="s">
        <v>90</v>
      </c>
      <c r="I102" t="s">
        <v>91</v>
      </c>
      <c r="J102" t="s">
        <v>351</v>
      </c>
      <c r="L102" t="s">
        <v>451</v>
      </c>
      <c r="M102" t="s">
        <v>452</v>
      </c>
      <c r="N102" t="s">
        <v>481</v>
      </c>
      <c r="O102" t="s">
        <v>127</v>
      </c>
      <c r="P102" t="str">
        <f>"REF:OHSAR00092081 JOB:11808"</f>
        <v>REF:OHSAR00092081 JOB:11808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15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73.63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3.7</v>
      </c>
      <c r="BJ102">
        <v>5</v>
      </c>
      <c r="BK102">
        <v>5</v>
      </c>
      <c r="BL102">
        <v>212.63</v>
      </c>
      <c r="BM102">
        <v>31.89</v>
      </c>
      <c r="BN102">
        <v>244.52</v>
      </c>
      <c r="BO102">
        <v>244.52</v>
      </c>
      <c r="BQ102" t="s">
        <v>128</v>
      </c>
      <c r="BR102" t="s">
        <v>129</v>
      </c>
      <c r="BS102" s="3">
        <v>44818</v>
      </c>
      <c r="BT102" s="4">
        <v>0.55069444444444449</v>
      </c>
      <c r="BU102" t="s">
        <v>75</v>
      </c>
      <c r="BV102" t="s">
        <v>84</v>
      </c>
      <c r="BY102">
        <v>25216</v>
      </c>
      <c r="BZ102" t="s">
        <v>455</v>
      </c>
      <c r="CA102" t="s">
        <v>456</v>
      </c>
      <c r="CC102" t="s">
        <v>452</v>
      </c>
      <c r="CD102">
        <v>8874</v>
      </c>
      <c r="CE102" t="s">
        <v>86</v>
      </c>
      <c r="CI102">
        <v>4</v>
      </c>
      <c r="CJ102">
        <v>4</v>
      </c>
      <c r="CK102">
        <v>43</v>
      </c>
    </row>
    <row r="103" spans="1:89" x14ac:dyDescent="0.3">
      <c r="A103" t="s">
        <v>72</v>
      </c>
      <c r="B103" t="s">
        <v>73</v>
      </c>
      <c r="C103" t="s">
        <v>74</v>
      </c>
      <c r="E103" t="str">
        <f>"009942278707"</f>
        <v>009942278707</v>
      </c>
      <c r="F103" s="3">
        <v>44812</v>
      </c>
      <c r="G103">
        <v>202306</v>
      </c>
      <c r="H103" t="s">
        <v>87</v>
      </c>
      <c r="I103" t="s">
        <v>88</v>
      </c>
      <c r="J103" t="s">
        <v>414</v>
      </c>
      <c r="L103" t="s">
        <v>220</v>
      </c>
      <c r="M103" t="s">
        <v>221</v>
      </c>
      <c r="N103" t="s">
        <v>482</v>
      </c>
      <c r="O103" t="s">
        <v>81</v>
      </c>
      <c r="P103" t="str">
        <f>"J27201"</f>
        <v>J27201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21.09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0.8</v>
      </c>
      <c r="BJ103">
        <v>0.2</v>
      </c>
      <c r="BK103">
        <v>1</v>
      </c>
      <c r="BL103">
        <v>55.1</v>
      </c>
      <c r="BM103">
        <v>8.27</v>
      </c>
      <c r="BN103">
        <v>63.37</v>
      </c>
      <c r="BO103">
        <v>63.37</v>
      </c>
      <c r="BQ103" t="s">
        <v>483</v>
      </c>
      <c r="BR103" t="s">
        <v>82</v>
      </c>
      <c r="BS103" s="3">
        <v>44813</v>
      </c>
      <c r="BT103" s="4">
        <v>0.48055555555555557</v>
      </c>
      <c r="BU103" t="s">
        <v>484</v>
      </c>
      <c r="BV103" t="s">
        <v>97</v>
      </c>
      <c r="BY103">
        <v>948.4</v>
      </c>
      <c r="BZ103" t="s">
        <v>116</v>
      </c>
      <c r="CA103" t="s">
        <v>485</v>
      </c>
      <c r="CC103" t="s">
        <v>221</v>
      </c>
      <c r="CD103">
        <v>1422</v>
      </c>
      <c r="CE103" t="s">
        <v>86</v>
      </c>
      <c r="CI103">
        <v>1</v>
      </c>
      <c r="CJ103">
        <v>1</v>
      </c>
      <c r="CK103">
        <v>22</v>
      </c>
    </row>
    <row r="104" spans="1:89" x14ac:dyDescent="0.3">
      <c r="A104" t="s">
        <v>72</v>
      </c>
      <c r="B104" t="s">
        <v>73</v>
      </c>
      <c r="C104" t="s">
        <v>74</v>
      </c>
      <c r="E104" t="str">
        <f>"009942278709"</f>
        <v>009942278709</v>
      </c>
      <c r="F104" s="3">
        <v>44812</v>
      </c>
      <c r="G104">
        <v>202306</v>
      </c>
      <c r="H104" t="s">
        <v>87</v>
      </c>
      <c r="I104" t="s">
        <v>88</v>
      </c>
      <c r="J104" t="s">
        <v>414</v>
      </c>
      <c r="L104" t="s">
        <v>118</v>
      </c>
      <c r="M104" t="s">
        <v>119</v>
      </c>
      <c r="N104" t="s">
        <v>486</v>
      </c>
      <c r="O104" t="s">
        <v>127</v>
      </c>
      <c r="P104" t="str">
        <f>"J27261"</f>
        <v>J27261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52.2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2.4</v>
      </c>
      <c r="BJ104">
        <v>0.2</v>
      </c>
      <c r="BK104">
        <v>3</v>
      </c>
      <c r="BL104">
        <v>141.65</v>
      </c>
      <c r="BM104">
        <v>21.25</v>
      </c>
      <c r="BN104">
        <v>162.9</v>
      </c>
      <c r="BO104">
        <v>162.9</v>
      </c>
      <c r="BQ104" t="s">
        <v>487</v>
      </c>
      <c r="BR104" t="s">
        <v>82</v>
      </c>
      <c r="BS104" s="3">
        <v>44813</v>
      </c>
      <c r="BT104" s="4">
        <v>0.39513888888888887</v>
      </c>
      <c r="BU104" t="s">
        <v>488</v>
      </c>
      <c r="BV104" t="s">
        <v>84</v>
      </c>
      <c r="BY104">
        <v>750.5</v>
      </c>
      <c r="BZ104" t="s">
        <v>430</v>
      </c>
      <c r="CA104" t="s">
        <v>489</v>
      </c>
      <c r="CC104" t="s">
        <v>119</v>
      </c>
      <c r="CD104">
        <v>172</v>
      </c>
      <c r="CE104" t="s">
        <v>86</v>
      </c>
      <c r="CI104">
        <v>3</v>
      </c>
      <c r="CJ104">
        <v>1</v>
      </c>
      <c r="CK104">
        <v>41</v>
      </c>
    </row>
    <row r="105" spans="1:89" x14ac:dyDescent="0.3">
      <c r="A105" t="s">
        <v>72</v>
      </c>
      <c r="B105" t="s">
        <v>73</v>
      </c>
      <c r="C105" t="s">
        <v>74</v>
      </c>
      <c r="E105" t="str">
        <f>"009942278702"</f>
        <v>009942278702</v>
      </c>
      <c r="F105" s="3">
        <v>44812</v>
      </c>
      <c r="G105">
        <v>202306</v>
      </c>
      <c r="H105" t="s">
        <v>87</v>
      </c>
      <c r="I105" t="s">
        <v>88</v>
      </c>
      <c r="J105" t="s">
        <v>414</v>
      </c>
      <c r="L105" t="s">
        <v>87</v>
      </c>
      <c r="M105" t="s">
        <v>88</v>
      </c>
      <c r="N105" t="s">
        <v>490</v>
      </c>
      <c r="O105" t="s">
        <v>81</v>
      </c>
      <c r="P105" t="str">
        <f>"J27223"</f>
        <v>J27223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21.09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0.6</v>
      </c>
      <c r="BJ105">
        <v>0.3</v>
      </c>
      <c r="BK105">
        <v>1</v>
      </c>
      <c r="BL105">
        <v>55.1</v>
      </c>
      <c r="BM105">
        <v>8.27</v>
      </c>
      <c r="BN105">
        <v>63.37</v>
      </c>
      <c r="BO105">
        <v>63.37</v>
      </c>
      <c r="BQ105" t="s">
        <v>491</v>
      </c>
      <c r="BR105" t="s">
        <v>82</v>
      </c>
      <c r="BS105" s="3">
        <v>44813</v>
      </c>
      <c r="BT105" s="4">
        <v>0.40277777777777773</v>
      </c>
      <c r="BU105" t="s">
        <v>492</v>
      </c>
      <c r="BV105" t="s">
        <v>84</v>
      </c>
      <c r="BY105">
        <v>1551.42</v>
      </c>
      <c r="BZ105" t="s">
        <v>449</v>
      </c>
      <c r="CA105" t="s">
        <v>188</v>
      </c>
      <c r="CC105" t="s">
        <v>88</v>
      </c>
      <c r="CD105">
        <v>1619</v>
      </c>
      <c r="CE105" t="s">
        <v>86</v>
      </c>
      <c r="CI105">
        <v>1</v>
      </c>
      <c r="CJ105">
        <v>1</v>
      </c>
      <c r="CK105">
        <v>22</v>
      </c>
    </row>
    <row r="106" spans="1:89" x14ac:dyDescent="0.3">
      <c r="A106" t="s">
        <v>72</v>
      </c>
      <c r="B106" t="s">
        <v>73</v>
      </c>
      <c r="C106" t="s">
        <v>74</v>
      </c>
      <c r="E106" t="str">
        <f>"009942278705"</f>
        <v>009942278705</v>
      </c>
      <c r="F106" s="3">
        <v>44812</v>
      </c>
      <c r="G106">
        <v>202306</v>
      </c>
      <c r="H106" t="s">
        <v>87</v>
      </c>
      <c r="I106" t="s">
        <v>88</v>
      </c>
      <c r="J106" t="s">
        <v>414</v>
      </c>
      <c r="L106" t="s">
        <v>226</v>
      </c>
      <c r="M106" t="s">
        <v>227</v>
      </c>
      <c r="N106" t="s">
        <v>493</v>
      </c>
      <c r="O106" t="s">
        <v>81</v>
      </c>
      <c r="P106" t="str">
        <f>"J26826"</f>
        <v>J26826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21.09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0.3</v>
      </c>
      <c r="BK106">
        <v>1</v>
      </c>
      <c r="BL106">
        <v>55.1</v>
      </c>
      <c r="BM106">
        <v>8.27</v>
      </c>
      <c r="BN106">
        <v>63.37</v>
      </c>
      <c r="BO106">
        <v>63.37</v>
      </c>
      <c r="BQ106" t="s">
        <v>494</v>
      </c>
      <c r="BR106" t="s">
        <v>82</v>
      </c>
      <c r="BS106" s="3">
        <v>44813</v>
      </c>
      <c r="BT106" s="4">
        <v>0.3354166666666667</v>
      </c>
      <c r="BU106" t="s">
        <v>495</v>
      </c>
      <c r="BV106" t="s">
        <v>84</v>
      </c>
      <c r="BY106">
        <v>1566.86</v>
      </c>
      <c r="BZ106" t="s">
        <v>449</v>
      </c>
      <c r="CA106" t="s">
        <v>230</v>
      </c>
      <c r="CC106" t="s">
        <v>227</v>
      </c>
      <c r="CD106">
        <v>1459</v>
      </c>
      <c r="CE106" t="s">
        <v>86</v>
      </c>
      <c r="CI106">
        <v>1</v>
      </c>
      <c r="CJ106">
        <v>1</v>
      </c>
      <c r="CK106">
        <v>22</v>
      </c>
    </row>
    <row r="107" spans="1:89" x14ac:dyDescent="0.3">
      <c r="A107" t="s">
        <v>72</v>
      </c>
      <c r="B107" t="s">
        <v>73</v>
      </c>
      <c r="C107" t="s">
        <v>74</v>
      </c>
      <c r="E107" t="str">
        <f>"009942558882"</f>
        <v>009942558882</v>
      </c>
      <c r="F107" s="3">
        <v>44813</v>
      </c>
      <c r="G107">
        <v>202306</v>
      </c>
      <c r="H107" t="s">
        <v>90</v>
      </c>
      <c r="I107" t="s">
        <v>91</v>
      </c>
      <c r="J107" t="s">
        <v>147</v>
      </c>
      <c r="L107" t="s">
        <v>99</v>
      </c>
      <c r="M107" t="s">
        <v>100</v>
      </c>
      <c r="N107" t="s">
        <v>148</v>
      </c>
      <c r="O107" t="s">
        <v>127</v>
      </c>
      <c r="P107" t="str">
        <f>"INV186022"</f>
        <v>INV186022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52.2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0.1</v>
      </c>
      <c r="BJ107">
        <v>0.6</v>
      </c>
      <c r="BK107">
        <v>1</v>
      </c>
      <c r="BL107">
        <v>141.65</v>
      </c>
      <c r="BM107">
        <v>21.25</v>
      </c>
      <c r="BN107">
        <v>162.9</v>
      </c>
      <c r="BO107">
        <v>162.9</v>
      </c>
      <c r="BQ107" t="s">
        <v>496</v>
      </c>
      <c r="BR107" t="s">
        <v>150</v>
      </c>
      <c r="BS107" s="3">
        <v>44816</v>
      </c>
      <c r="BT107" s="4">
        <v>0.3923611111111111</v>
      </c>
      <c r="BU107" t="s">
        <v>497</v>
      </c>
      <c r="BV107" t="s">
        <v>84</v>
      </c>
      <c r="BY107">
        <v>2935.25</v>
      </c>
      <c r="BZ107" t="s">
        <v>111</v>
      </c>
      <c r="CA107" t="s">
        <v>498</v>
      </c>
      <c r="CC107" t="s">
        <v>100</v>
      </c>
      <c r="CD107">
        <v>4037</v>
      </c>
      <c r="CE107" t="s">
        <v>86</v>
      </c>
      <c r="CI107">
        <v>4</v>
      </c>
      <c r="CJ107">
        <v>1</v>
      </c>
      <c r="CK107">
        <v>41</v>
      </c>
    </row>
    <row r="108" spans="1:89" x14ac:dyDescent="0.3">
      <c r="A108" t="s">
        <v>72</v>
      </c>
      <c r="B108" t="s">
        <v>73</v>
      </c>
      <c r="C108" t="s">
        <v>74</v>
      </c>
      <c r="E108" t="str">
        <f>"009942558880"</f>
        <v>009942558880</v>
      </c>
      <c r="F108" s="3">
        <v>44813</v>
      </c>
      <c r="G108">
        <v>202306</v>
      </c>
      <c r="H108" t="s">
        <v>90</v>
      </c>
      <c r="I108" t="s">
        <v>91</v>
      </c>
      <c r="J108" t="s">
        <v>147</v>
      </c>
      <c r="L108" t="s">
        <v>499</v>
      </c>
      <c r="M108" t="s">
        <v>500</v>
      </c>
      <c r="N108" t="s">
        <v>501</v>
      </c>
      <c r="O108" t="s">
        <v>127</v>
      </c>
      <c r="P108" t="str">
        <f>"INV9069"</f>
        <v>INV9069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66.66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5.6</v>
      </c>
      <c r="BJ108">
        <v>20.6</v>
      </c>
      <c r="BK108">
        <v>21</v>
      </c>
      <c r="BL108">
        <v>179.42</v>
      </c>
      <c r="BM108">
        <v>26.91</v>
      </c>
      <c r="BN108">
        <v>206.33</v>
      </c>
      <c r="BO108">
        <v>206.33</v>
      </c>
      <c r="BQ108" t="s">
        <v>128</v>
      </c>
      <c r="BR108" t="s">
        <v>150</v>
      </c>
      <c r="BS108" s="3">
        <v>44816</v>
      </c>
      <c r="BT108" s="4">
        <v>0.46180555555555558</v>
      </c>
      <c r="BU108" t="s">
        <v>502</v>
      </c>
      <c r="BV108" t="s">
        <v>84</v>
      </c>
      <c r="BY108">
        <v>103098.6</v>
      </c>
      <c r="BZ108" t="s">
        <v>111</v>
      </c>
      <c r="CC108" t="s">
        <v>500</v>
      </c>
      <c r="CD108">
        <v>7130</v>
      </c>
      <c r="CE108" t="s">
        <v>86</v>
      </c>
      <c r="CI108">
        <v>4</v>
      </c>
      <c r="CJ108">
        <v>1</v>
      </c>
      <c r="CK108">
        <v>44</v>
      </c>
    </row>
    <row r="109" spans="1:89" x14ac:dyDescent="0.3">
      <c r="A109" t="s">
        <v>72</v>
      </c>
      <c r="B109" t="s">
        <v>73</v>
      </c>
      <c r="C109" t="s">
        <v>74</v>
      </c>
      <c r="E109" t="str">
        <f>"009942558881"</f>
        <v>009942558881</v>
      </c>
      <c r="F109" s="3">
        <v>44813</v>
      </c>
      <c r="G109">
        <v>202306</v>
      </c>
      <c r="H109" t="s">
        <v>90</v>
      </c>
      <c r="I109" t="s">
        <v>91</v>
      </c>
      <c r="J109" t="s">
        <v>147</v>
      </c>
      <c r="L109" t="s">
        <v>189</v>
      </c>
      <c r="M109" t="s">
        <v>190</v>
      </c>
      <c r="N109" t="s">
        <v>148</v>
      </c>
      <c r="O109" t="s">
        <v>127</v>
      </c>
      <c r="P109" t="str">
        <f>"INV9078"</f>
        <v>INV9078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73.63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0.8</v>
      </c>
      <c r="BJ109">
        <v>3.2</v>
      </c>
      <c r="BK109">
        <v>4</v>
      </c>
      <c r="BL109">
        <v>197.63</v>
      </c>
      <c r="BM109">
        <v>29.64</v>
      </c>
      <c r="BN109">
        <v>227.27</v>
      </c>
      <c r="BO109">
        <v>227.27</v>
      </c>
      <c r="BQ109" t="s">
        <v>191</v>
      </c>
      <c r="BR109" t="s">
        <v>150</v>
      </c>
      <c r="BS109" s="3">
        <v>44819</v>
      </c>
      <c r="BT109" s="4">
        <v>0.6958333333333333</v>
      </c>
      <c r="BU109" t="s">
        <v>503</v>
      </c>
      <c r="BV109" t="s">
        <v>97</v>
      </c>
      <c r="BY109">
        <v>16158.72</v>
      </c>
      <c r="BZ109" t="s">
        <v>111</v>
      </c>
      <c r="CC109" t="s">
        <v>190</v>
      </c>
      <c r="CD109">
        <v>216</v>
      </c>
      <c r="CE109" t="s">
        <v>86</v>
      </c>
      <c r="CI109">
        <v>4</v>
      </c>
      <c r="CJ109">
        <v>4</v>
      </c>
      <c r="CK109">
        <v>43</v>
      </c>
    </row>
    <row r="110" spans="1:89" x14ac:dyDescent="0.3">
      <c r="A110" t="s">
        <v>72</v>
      </c>
      <c r="B110" t="s">
        <v>73</v>
      </c>
      <c r="C110" t="s">
        <v>74</v>
      </c>
      <c r="E110" t="str">
        <f>"009942278710"</f>
        <v>009942278710</v>
      </c>
      <c r="F110" s="3">
        <v>44813</v>
      </c>
      <c r="G110">
        <v>202306</v>
      </c>
      <c r="H110" t="s">
        <v>87</v>
      </c>
      <c r="I110" t="s">
        <v>88</v>
      </c>
      <c r="J110" t="s">
        <v>414</v>
      </c>
      <c r="L110" t="s">
        <v>75</v>
      </c>
      <c r="M110" t="s">
        <v>76</v>
      </c>
      <c r="N110" t="s">
        <v>326</v>
      </c>
      <c r="O110" t="s">
        <v>81</v>
      </c>
      <c r="P110" t="str">
        <f>"JNX0218450941"</f>
        <v>JNX0218450941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21.09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0.5</v>
      </c>
      <c r="BJ110">
        <v>0.5</v>
      </c>
      <c r="BK110">
        <v>0.5</v>
      </c>
      <c r="BL110">
        <v>55.1</v>
      </c>
      <c r="BM110">
        <v>8.27</v>
      </c>
      <c r="BN110">
        <v>63.37</v>
      </c>
      <c r="BO110">
        <v>63.37</v>
      </c>
      <c r="BQ110" t="s">
        <v>327</v>
      </c>
      <c r="BR110" t="s">
        <v>82</v>
      </c>
      <c r="BS110" s="3">
        <v>44816</v>
      </c>
      <c r="BT110" s="4">
        <v>0.35902777777777778</v>
      </c>
      <c r="BU110" t="s">
        <v>504</v>
      </c>
      <c r="BV110" t="s">
        <v>84</v>
      </c>
      <c r="BY110">
        <v>2283.21</v>
      </c>
      <c r="BZ110" t="s">
        <v>116</v>
      </c>
      <c r="CC110" t="s">
        <v>76</v>
      </c>
      <c r="CD110">
        <v>2011</v>
      </c>
      <c r="CE110" t="s">
        <v>86</v>
      </c>
      <c r="CI110">
        <v>1</v>
      </c>
      <c r="CJ110">
        <v>1</v>
      </c>
      <c r="CK110">
        <v>22</v>
      </c>
    </row>
    <row r="111" spans="1:89" x14ac:dyDescent="0.3">
      <c r="A111" t="s">
        <v>72</v>
      </c>
      <c r="B111" t="s">
        <v>73</v>
      </c>
      <c r="C111" t="s">
        <v>74</v>
      </c>
      <c r="E111" t="str">
        <f>"080010589044"</f>
        <v>080010589044</v>
      </c>
      <c r="F111" s="3">
        <v>44816</v>
      </c>
      <c r="G111">
        <v>202306</v>
      </c>
      <c r="H111" t="s">
        <v>505</v>
      </c>
      <c r="I111" t="s">
        <v>506</v>
      </c>
      <c r="J111" t="s">
        <v>507</v>
      </c>
      <c r="L111" t="s">
        <v>226</v>
      </c>
      <c r="M111" t="s">
        <v>227</v>
      </c>
      <c r="N111" t="s">
        <v>508</v>
      </c>
      <c r="O111" t="s">
        <v>127</v>
      </c>
      <c r="P111" t="str">
        <f>"x"</f>
        <v>x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278.10000000000002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50</v>
      </c>
      <c r="BJ111">
        <v>120</v>
      </c>
      <c r="BK111">
        <v>120</v>
      </c>
      <c r="BL111">
        <v>731.9</v>
      </c>
      <c r="BM111">
        <v>109.79</v>
      </c>
      <c r="BN111">
        <v>841.69</v>
      </c>
      <c r="BO111">
        <v>841.69</v>
      </c>
      <c r="BP111" t="s">
        <v>197</v>
      </c>
      <c r="BQ111" t="s">
        <v>509</v>
      </c>
      <c r="BR111" t="s">
        <v>510</v>
      </c>
      <c r="BS111" s="3">
        <v>44817</v>
      </c>
      <c r="BT111" s="4">
        <v>0.34027777777777773</v>
      </c>
      <c r="BU111" t="s">
        <v>511</v>
      </c>
      <c r="BV111" t="s">
        <v>84</v>
      </c>
      <c r="BY111">
        <v>600000</v>
      </c>
      <c r="CA111" t="s">
        <v>512</v>
      </c>
      <c r="CC111" t="s">
        <v>227</v>
      </c>
      <c r="CD111">
        <v>1459</v>
      </c>
      <c r="CE111" t="s">
        <v>513</v>
      </c>
      <c r="CI111">
        <v>3</v>
      </c>
      <c r="CJ111">
        <v>1</v>
      </c>
      <c r="CK111">
        <v>41</v>
      </c>
    </row>
    <row r="112" spans="1:89" x14ac:dyDescent="0.3">
      <c r="A112" t="s">
        <v>72</v>
      </c>
      <c r="B112" t="s">
        <v>73</v>
      </c>
      <c r="C112" t="s">
        <v>74</v>
      </c>
      <c r="E112" t="str">
        <f>"009942646660"</f>
        <v>009942646660</v>
      </c>
      <c r="F112" s="3">
        <v>44816</v>
      </c>
      <c r="G112">
        <v>202306</v>
      </c>
      <c r="H112" t="s">
        <v>189</v>
      </c>
      <c r="I112" t="s">
        <v>190</v>
      </c>
      <c r="J112" t="s">
        <v>514</v>
      </c>
      <c r="L112" t="s">
        <v>90</v>
      </c>
      <c r="M112" t="s">
        <v>91</v>
      </c>
      <c r="N112" t="s">
        <v>181</v>
      </c>
      <c r="O112" t="s">
        <v>81</v>
      </c>
      <c r="P112" t="str">
        <f>"RBG0219490012"</f>
        <v>RBG0219490012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52.3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136.66</v>
      </c>
      <c r="BM112">
        <v>20.5</v>
      </c>
      <c r="BN112">
        <v>157.16</v>
      </c>
      <c r="BO112">
        <v>157.16</v>
      </c>
      <c r="BR112" t="s">
        <v>315</v>
      </c>
      <c r="BS112" s="3">
        <v>44817</v>
      </c>
      <c r="BT112" s="4">
        <v>0.39861111111111108</v>
      </c>
      <c r="BU112" t="s">
        <v>515</v>
      </c>
      <c r="BV112" t="s">
        <v>84</v>
      </c>
      <c r="BY112">
        <v>1200</v>
      </c>
      <c r="BZ112" t="s">
        <v>116</v>
      </c>
      <c r="CA112" t="s">
        <v>172</v>
      </c>
      <c r="CC112" t="s">
        <v>91</v>
      </c>
      <c r="CD112">
        <v>7945</v>
      </c>
      <c r="CE112" t="s">
        <v>86</v>
      </c>
      <c r="CI112">
        <v>1</v>
      </c>
      <c r="CJ112">
        <v>1</v>
      </c>
      <c r="CK112">
        <v>23</v>
      </c>
    </row>
    <row r="113" spans="1:89" x14ac:dyDescent="0.3">
      <c r="A113" t="s">
        <v>72</v>
      </c>
      <c r="B113" t="s">
        <v>73</v>
      </c>
      <c r="C113" t="s">
        <v>74</v>
      </c>
      <c r="E113" t="str">
        <f>"009942558891"</f>
        <v>009942558891</v>
      </c>
      <c r="F113" s="3">
        <v>44816</v>
      </c>
      <c r="G113">
        <v>202306</v>
      </c>
      <c r="H113" t="s">
        <v>90</v>
      </c>
      <c r="I113" t="s">
        <v>91</v>
      </c>
      <c r="J113" t="s">
        <v>147</v>
      </c>
      <c r="L113" t="s">
        <v>90</v>
      </c>
      <c r="M113" t="s">
        <v>91</v>
      </c>
      <c r="N113" t="s">
        <v>148</v>
      </c>
      <c r="O113" t="s">
        <v>81</v>
      </c>
      <c r="P113" t="str">
        <f>"INV186124"</f>
        <v>INV186124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21.09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0.1</v>
      </c>
      <c r="BJ113">
        <v>0.8</v>
      </c>
      <c r="BK113">
        <v>1</v>
      </c>
      <c r="BL113">
        <v>55.1</v>
      </c>
      <c r="BM113">
        <v>8.27</v>
      </c>
      <c r="BN113">
        <v>63.37</v>
      </c>
      <c r="BO113">
        <v>63.37</v>
      </c>
      <c r="BQ113" t="s">
        <v>516</v>
      </c>
      <c r="BR113" t="s">
        <v>150</v>
      </c>
      <c r="BS113" s="3">
        <v>44819</v>
      </c>
      <c r="BT113" s="4">
        <v>0.38819444444444445</v>
      </c>
      <c r="BU113" t="s">
        <v>517</v>
      </c>
      <c r="BV113" t="s">
        <v>97</v>
      </c>
      <c r="BY113">
        <v>4166.7</v>
      </c>
      <c r="BZ113" t="s">
        <v>116</v>
      </c>
      <c r="CA113" t="s">
        <v>165</v>
      </c>
      <c r="CC113" t="s">
        <v>91</v>
      </c>
      <c r="CD113">
        <v>8001</v>
      </c>
      <c r="CE113" t="s">
        <v>86</v>
      </c>
      <c r="CI113">
        <v>1</v>
      </c>
      <c r="CJ113">
        <v>3</v>
      </c>
      <c r="CK113">
        <v>22</v>
      </c>
    </row>
    <row r="114" spans="1:89" x14ac:dyDescent="0.3">
      <c r="A114" t="s">
        <v>72</v>
      </c>
      <c r="B114" t="s">
        <v>73</v>
      </c>
      <c r="C114" t="s">
        <v>74</v>
      </c>
      <c r="E114" t="str">
        <f>"009942558893"</f>
        <v>009942558893</v>
      </c>
      <c r="F114" s="3">
        <v>44816</v>
      </c>
      <c r="G114">
        <v>202306</v>
      </c>
      <c r="H114" t="s">
        <v>90</v>
      </c>
      <c r="I114" t="s">
        <v>91</v>
      </c>
      <c r="J114" t="s">
        <v>147</v>
      </c>
      <c r="L114" t="s">
        <v>78</v>
      </c>
      <c r="M114" t="s">
        <v>79</v>
      </c>
      <c r="N114" t="s">
        <v>518</v>
      </c>
      <c r="O114" t="s">
        <v>107</v>
      </c>
      <c r="P114" t="str">
        <f>"INV186104"</f>
        <v>INV186104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50.62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0.7</v>
      </c>
      <c r="BJ114">
        <v>2.8</v>
      </c>
      <c r="BK114">
        <v>3</v>
      </c>
      <c r="BL114">
        <v>132.26</v>
      </c>
      <c r="BM114">
        <v>19.84</v>
      </c>
      <c r="BN114">
        <v>152.1</v>
      </c>
      <c r="BO114">
        <v>152.1</v>
      </c>
      <c r="BQ114" t="s">
        <v>519</v>
      </c>
      <c r="BR114" t="s">
        <v>150</v>
      </c>
      <c r="BS114" s="3">
        <v>44817</v>
      </c>
      <c r="BT114" s="4">
        <v>0.43958333333333338</v>
      </c>
      <c r="BU114" t="s">
        <v>520</v>
      </c>
      <c r="BV114" t="s">
        <v>84</v>
      </c>
      <c r="BY114">
        <v>14072.76</v>
      </c>
      <c r="BZ114" t="s">
        <v>111</v>
      </c>
      <c r="CC114" t="s">
        <v>79</v>
      </c>
      <c r="CD114">
        <v>6530</v>
      </c>
      <c r="CE114" t="s">
        <v>86</v>
      </c>
      <c r="CI114">
        <v>1</v>
      </c>
      <c r="CJ114">
        <v>1</v>
      </c>
      <c r="CK114">
        <v>31</v>
      </c>
    </row>
    <row r="115" spans="1:89" x14ac:dyDescent="0.3">
      <c r="A115" t="s">
        <v>72</v>
      </c>
      <c r="B115" t="s">
        <v>73</v>
      </c>
      <c r="C115" t="s">
        <v>74</v>
      </c>
      <c r="E115" t="str">
        <f>"009942558885"</f>
        <v>009942558885</v>
      </c>
      <c r="F115" s="3">
        <v>44816</v>
      </c>
      <c r="G115">
        <v>202306</v>
      </c>
      <c r="H115" t="s">
        <v>90</v>
      </c>
      <c r="I115" t="s">
        <v>91</v>
      </c>
      <c r="J115" t="s">
        <v>147</v>
      </c>
      <c r="L115" t="s">
        <v>521</v>
      </c>
      <c r="M115" t="s">
        <v>522</v>
      </c>
      <c r="N115" t="s">
        <v>148</v>
      </c>
      <c r="O115" t="s">
        <v>127</v>
      </c>
      <c r="P115" t="str">
        <f>"INV186131"</f>
        <v>INV186131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73.63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0.8</v>
      </c>
      <c r="BJ115">
        <v>2.1</v>
      </c>
      <c r="BK115">
        <v>3</v>
      </c>
      <c r="BL115">
        <v>197.63</v>
      </c>
      <c r="BM115">
        <v>29.64</v>
      </c>
      <c r="BN115">
        <v>227.27</v>
      </c>
      <c r="BO115">
        <v>227.27</v>
      </c>
      <c r="BQ115" t="s">
        <v>523</v>
      </c>
      <c r="BR115" t="s">
        <v>150</v>
      </c>
      <c r="BS115" s="3">
        <v>44818</v>
      </c>
      <c r="BT115" s="4">
        <v>0.54166666666666663</v>
      </c>
      <c r="BU115" t="s">
        <v>524</v>
      </c>
      <c r="BV115" t="s">
        <v>84</v>
      </c>
      <c r="BY115">
        <v>10274.67</v>
      </c>
      <c r="BZ115" t="s">
        <v>111</v>
      </c>
      <c r="CA115" t="s">
        <v>525</v>
      </c>
      <c r="CC115" t="s">
        <v>522</v>
      </c>
      <c r="CD115">
        <v>9660</v>
      </c>
      <c r="CE115" t="s">
        <v>86</v>
      </c>
      <c r="CI115">
        <v>4</v>
      </c>
      <c r="CJ115">
        <v>2</v>
      </c>
      <c r="CK115">
        <v>43</v>
      </c>
    </row>
    <row r="116" spans="1:89" x14ac:dyDescent="0.3">
      <c r="A116" t="s">
        <v>72</v>
      </c>
      <c r="B116" t="s">
        <v>73</v>
      </c>
      <c r="C116" t="s">
        <v>74</v>
      </c>
      <c r="E116" t="str">
        <f>"009942558892"</f>
        <v>009942558892</v>
      </c>
      <c r="F116" s="3">
        <v>44816</v>
      </c>
      <c r="G116">
        <v>202306</v>
      </c>
      <c r="H116" t="s">
        <v>90</v>
      </c>
      <c r="I116" t="s">
        <v>91</v>
      </c>
      <c r="J116" t="s">
        <v>147</v>
      </c>
      <c r="L116" t="s">
        <v>90</v>
      </c>
      <c r="M116" t="s">
        <v>91</v>
      </c>
      <c r="N116" t="s">
        <v>148</v>
      </c>
      <c r="O116" t="s">
        <v>81</v>
      </c>
      <c r="P116" t="str">
        <f>"INV186121"</f>
        <v>INV186121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21.09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0.1</v>
      </c>
      <c r="BJ116">
        <v>1</v>
      </c>
      <c r="BK116">
        <v>1</v>
      </c>
      <c r="BL116">
        <v>55.1</v>
      </c>
      <c r="BM116">
        <v>8.27</v>
      </c>
      <c r="BN116">
        <v>63.37</v>
      </c>
      <c r="BO116">
        <v>63.37</v>
      </c>
      <c r="BQ116" t="s">
        <v>526</v>
      </c>
      <c r="BR116" t="s">
        <v>150</v>
      </c>
      <c r="BS116" s="3">
        <v>44817</v>
      </c>
      <c r="BT116" s="4">
        <v>0.4236111111111111</v>
      </c>
      <c r="BU116" t="s">
        <v>527</v>
      </c>
      <c r="BV116" t="s">
        <v>84</v>
      </c>
      <c r="BY116">
        <v>4757.67</v>
      </c>
      <c r="BZ116" t="s">
        <v>116</v>
      </c>
      <c r="CA116" t="s">
        <v>165</v>
      </c>
      <c r="CC116" t="s">
        <v>91</v>
      </c>
      <c r="CD116">
        <v>8005</v>
      </c>
      <c r="CE116" t="s">
        <v>86</v>
      </c>
      <c r="CI116">
        <v>1</v>
      </c>
      <c r="CJ116">
        <v>1</v>
      </c>
      <c r="CK116">
        <v>22</v>
      </c>
    </row>
    <row r="117" spans="1:89" x14ac:dyDescent="0.3">
      <c r="A117" t="s">
        <v>72</v>
      </c>
      <c r="B117" t="s">
        <v>73</v>
      </c>
      <c r="C117" t="s">
        <v>74</v>
      </c>
      <c r="E117" t="str">
        <f>"009942558884"</f>
        <v>009942558884</v>
      </c>
      <c r="F117" s="3">
        <v>44816</v>
      </c>
      <c r="G117">
        <v>202306</v>
      </c>
      <c r="H117" t="s">
        <v>90</v>
      </c>
      <c r="I117" t="s">
        <v>91</v>
      </c>
      <c r="J117" t="s">
        <v>147</v>
      </c>
      <c r="L117" t="s">
        <v>118</v>
      </c>
      <c r="M117" t="s">
        <v>119</v>
      </c>
      <c r="N117" t="s">
        <v>528</v>
      </c>
      <c r="O117" t="s">
        <v>107</v>
      </c>
      <c r="P117" t="str">
        <f>"INV186030"</f>
        <v>INV186030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50.62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3.4</v>
      </c>
      <c r="BK117">
        <v>4</v>
      </c>
      <c r="BL117">
        <v>132.26</v>
      </c>
      <c r="BM117">
        <v>19.84</v>
      </c>
      <c r="BN117">
        <v>152.1</v>
      </c>
      <c r="BO117">
        <v>152.1</v>
      </c>
      <c r="BQ117" t="s">
        <v>529</v>
      </c>
      <c r="BR117" t="s">
        <v>150</v>
      </c>
      <c r="BS117" s="3">
        <v>44817</v>
      </c>
      <c r="BT117" s="4">
        <v>0.50694444444444442</v>
      </c>
      <c r="BU117" t="s">
        <v>530</v>
      </c>
      <c r="BV117" t="s">
        <v>84</v>
      </c>
      <c r="BY117">
        <v>17061.03</v>
      </c>
      <c r="BZ117" t="s">
        <v>111</v>
      </c>
      <c r="CA117" t="s">
        <v>531</v>
      </c>
      <c r="CC117" t="s">
        <v>119</v>
      </c>
      <c r="CD117">
        <v>181</v>
      </c>
      <c r="CE117" t="s">
        <v>86</v>
      </c>
      <c r="CI117">
        <v>1</v>
      </c>
      <c r="CJ117">
        <v>1</v>
      </c>
      <c r="CK117">
        <v>31</v>
      </c>
    </row>
    <row r="118" spans="1:89" x14ac:dyDescent="0.3">
      <c r="A118" t="s">
        <v>72</v>
      </c>
      <c r="B118" t="s">
        <v>73</v>
      </c>
      <c r="C118" t="s">
        <v>74</v>
      </c>
      <c r="E118" t="str">
        <f>"009942558889"</f>
        <v>009942558889</v>
      </c>
      <c r="F118" s="3">
        <v>44816</v>
      </c>
      <c r="G118">
        <v>202306</v>
      </c>
      <c r="H118" t="s">
        <v>90</v>
      </c>
      <c r="I118" t="s">
        <v>91</v>
      </c>
      <c r="J118" t="s">
        <v>147</v>
      </c>
      <c r="L118" t="s">
        <v>532</v>
      </c>
      <c r="M118" t="s">
        <v>533</v>
      </c>
      <c r="N118" t="s">
        <v>148</v>
      </c>
      <c r="O118" t="s">
        <v>127</v>
      </c>
      <c r="P118" t="str">
        <f>"INV186122"</f>
        <v>INV186122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73.63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0.1</v>
      </c>
      <c r="BJ118">
        <v>0.8</v>
      </c>
      <c r="BK118">
        <v>1</v>
      </c>
      <c r="BL118">
        <v>197.63</v>
      </c>
      <c r="BM118">
        <v>29.64</v>
      </c>
      <c r="BN118">
        <v>227.27</v>
      </c>
      <c r="BO118">
        <v>227.27</v>
      </c>
      <c r="BQ118" t="s">
        <v>534</v>
      </c>
      <c r="BR118" t="s">
        <v>150</v>
      </c>
      <c r="BS118" s="3">
        <v>44818</v>
      </c>
      <c r="BT118" s="4">
        <v>0.68055555555555547</v>
      </c>
      <c r="BU118" t="s">
        <v>535</v>
      </c>
      <c r="BV118" t="s">
        <v>84</v>
      </c>
      <c r="BY118">
        <v>3901.95</v>
      </c>
      <c r="BZ118" t="s">
        <v>111</v>
      </c>
      <c r="CA118" t="s">
        <v>536</v>
      </c>
      <c r="CC118" t="s">
        <v>533</v>
      </c>
      <c r="CD118">
        <v>299</v>
      </c>
      <c r="CE118" t="s">
        <v>86</v>
      </c>
      <c r="CI118">
        <v>4</v>
      </c>
      <c r="CJ118">
        <v>2</v>
      </c>
      <c r="CK118">
        <v>43</v>
      </c>
    </row>
    <row r="119" spans="1:89" x14ac:dyDescent="0.3">
      <c r="A119" t="s">
        <v>72</v>
      </c>
      <c r="B119" t="s">
        <v>73</v>
      </c>
      <c r="C119" t="s">
        <v>74</v>
      </c>
      <c r="E119" t="str">
        <f>"009942558890"</f>
        <v>009942558890</v>
      </c>
      <c r="F119" s="3">
        <v>44816</v>
      </c>
      <c r="G119">
        <v>202306</v>
      </c>
      <c r="H119" t="s">
        <v>90</v>
      </c>
      <c r="I119" t="s">
        <v>91</v>
      </c>
      <c r="J119" t="s">
        <v>147</v>
      </c>
      <c r="L119" t="s">
        <v>279</v>
      </c>
      <c r="M119" t="s">
        <v>280</v>
      </c>
      <c r="N119" t="s">
        <v>148</v>
      </c>
      <c r="O119" t="s">
        <v>127</v>
      </c>
      <c r="P119" t="str">
        <f>"INV186125"</f>
        <v>INV186125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73.63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0.1</v>
      </c>
      <c r="BJ119">
        <v>0.9</v>
      </c>
      <c r="BK119">
        <v>1</v>
      </c>
      <c r="BL119">
        <v>197.63</v>
      </c>
      <c r="BM119">
        <v>29.64</v>
      </c>
      <c r="BN119">
        <v>227.27</v>
      </c>
      <c r="BO119">
        <v>227.27</v>
      </c>
      <c r="BQ119" t="s">
        <v>537</v>
      </c>
      <c r="BR119" t="s">
        <v>150</v>
      </c>
      <c r="BS119" s="3">
        <v>44818</v>
      </c>
      <c r="BT119" s="4">
        <v>0.63402777777777775</v>
      </c>
      <c r="BU119" t="s">
        <v>538</v>
      </c>
      <c r="BV119" t="s">
        <v>84</v>
      </c>
      <c r="BY119">
        <v>4263.1499999999996</v>
      </c>
      <c r="BZ119" t="s">
        <v>111</v>
      </c>
      <c r="CA119" t="s">
        <v>539</v>
      </c>
      <c r="CC119" t="s">
        <v>280</v>
      </c>
      <c r="CD119">
        <v>4390</v>
      </c>
      <c r="CE119" t="s">
        <v>86</v>
      </c>
      <c r="CI119">
        <v>4</v>
      </c>
      <c r="CJ119">
        <v>2</v>
      </c>
      <c r="CK119">
        <v>43</v>
      </c>
    </row>
    <row r="120" spans="1:89" x14ac:dyDescent="0.3">
      <c r="A120" t="s">
        <v>72</v>
      </c>
      <c r="B120" t="s">
        <v>73</v>
      </c>
      <c r="C120" t="s">
        <v>74</v>
      </c>
      <c r="E120" t="str">
        <f>"009942558883"</f>
        <v>009942558883</v>
      </c>
      <c r="F120" s="3">
        <v>44816</v>
      </c>
      <c r="G120">
        <v>202306</v>
      </c>
      <c r="H120" t="s">
        <v>90</v>
      </c>
      <c r="I120" t="s">
        <v>91</v>
      </c>
      <c r="J120" t="s">
        <v>147</v>
      </c>
      <c r="L120" t="s">
        <v>90</v>
      </c>
      <c r="M120" t="s">
        <v>91</v>
      </c>
      <c r="N120" t="s">
        <v>148</v>
      </c>
      <c r="O120" t="s">
        <v>107</v>
      </c>
      <c r="P120" t="str">
        <f>"INV186023"</f>
        <v>INV186023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21.09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1.6</v>
      </c>
      <c r="BJ120">
        <v>4.7</v>
      </c>
      <c r="BK120">
        <v>5</v>
      </c>
      <c r="BL120">
        <v>55.11</v>
      </c>
      <c r="BM120">
        <v>8.27</v>
      </c>
      <c r="BN120">
        <v>63.38</v>
      </c>
      <c r="BO120">
        <v>63.38</v>
      </c>
      <c r="BQ120" t="s">
        <v>540</v>
      </c>
      <c r="BR120" t="s">
        <v>150</v>
      </c>
      <c r="BS120" s="3">
        <v>44817</v>
      </c>
      <c r="BT120" s="4">
        <v>0.47152777777777777</v>
      </c>
      <c r="BU120" t="s">
        <v>541</v>
      </c>
      <c r="BV120" t="s">
        <v>84</v>
      </c>
      <c r="BY120">
        <v>23711.16</v>
      </c>
      <c r="BZ120" t="s">
        <v>111</v>
      </c>
      <c r="CA120" t="s">
        <v>542</v>
      </c>
      <c r="CC120" t="s">
        <v>91</v>
      </c>
      <c r="CD120">
        <v>7405</v>
      </c>
      <c r="CE120" t="s">
        <v>86</v>
      </c>
      <c r="CI120">
        <v>1</v>
      </c>
      <c r="CJ120">
        <v>1</v>
      </c>
      <c r="CK120">
        <v>32</v>
      </c>
    </row>
    <row r="121" spans="1:89" x14ac:dyDescent="0.3">
      <c r="A121" t="s">
        <v>72</v>
      </c>
      <c r="B121" t="s">
        <v>73</v>
      </c>
      <c r="C121" t="s">
        <v>74</v>
      </c>
      <c r="E121" t="str">
        <f>"009942558886"</f>
        <v>009942558886</v>
      </c>
      <c r="F121" s="3">
        <v>44816</v>
      </c>
      <c r="G121">
        <v>202306</v>
      </c>
      <c r="H121" t="s">
        <v>90</v>
      </c>
      <c r="I121" t="s">
        <v>91</v>
      </c>
      <c r="J121" t="s">
        <v>147</v>
      </c>
      <c r="L121" t="s">
        <v>288</v>
      </c>
      <c r="M121" t="s">
        <v>289</v>
      </c>
      <c r="N121" t="s">
        <v>148</v>
      </c>
      <c r="O121" t="s">
        <v>127</v>
      </c>
      <c r="P121" t="str">
        <f>"INV186130"</f>
        <v>INV186130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52.2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1.4</v>
      </c>
      <c r="BJ121">
        <v>5.8</v>
      </c>
      <c r="BK121">
        <v>6</v>
      </c>
      <c r="BL121">
        <v>141.65</v>
      </c>
      <c r="BM121">
        <v>21.25</v>
      </c>
      <c r="BN121">
        <v>162.9</v>
      </c>
      <c r="BO121">
        <v>162.9</v>
      </c>
      <c r="BQ121" t="s">
        <v>543</v>
      </c>
      <c r="BR121" t="s">
        <v>150</v>
      </c>
      <c r="BS121" s="3">
        <v>44818</v>
      </c>
      <c r="BT121" s="4">
        <v>0.36180555555555555</v>
      </c>
      <c r="BU121" t="s">
        <v>544</v>
      </c>
      <c r="BV121" t="s">
        <v>84</v>
      </c>
      <c r="BY121">
        <v>28988.400000000001</v>
      </c>
      <c r="BZ121" t="s">
        <v>111</v>
      </c>
      <c r="CA121" t="s">
        <v>545</v>
      </c>
      <c r="CC121" t="s">
        <v>289</v>
      </c>
      <c r="CD121">
        <v>1559</v>
      </c>
      <c r="CE121" t="s">
        <v>86</v>
      </c>
      <c r="CI121">
        <v>3</v>
      </c>
      <c r="CJ121">
        <v>2</v>
      </c>
      <c r="CK121">
        <v>41</v>
      </c>
    </row>
    <row r="122" spans="1:89" x14ac:dyDescent="0.3">
      <c r="A122" t="s">
        <v>72</v>
      </c>
      <c r="B122" t="s">
        <v>73</v>
      </c>
      <c r="C122" t="s">
        <v>74</v>
      </c>
      <c r="E122" t="str">
        <f>"009942558887"</f>
        <v>009942558887</v>
      </c>
      <c r="F122" s="3">
        <v>44816</v>
      </c>
      <c r="G122">
        <v>202306</v>
      </c>
      <c r="H122" t="s">
        <v>90</v>
      </c>
      <c r="I122" t="s">
        <v>91</v>
      </c>
      <c r="J122" t="s">
        <v>147</v>
      </c>
      <c r="L122" t="s">
        <v>87</v>
      </c>
      <c r="M122" t="s">
        <v>88</v>
      </c>
      <c r="N122" t="s">
        <v>148</v>
      </c>
      <c r="O122" t="s">
        <v>127</v>
      </c>
      <c r="P122" t="str">
        <f>"DOLFI#26394"</f>
        <v>DOLFI#26394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52.2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2.9</v>
      </c>
      <c r="BJ122">
        <v>11.4</v>
      </c>
      <c r="BK122">
        <v>12</v>
      </c>
      <c r="BL122">
        <v>141.65</v>
      </c>
      <c r="BM122">
        <v>21.25</v>
      </c>
      <c r="BN122">
        <v>162.9</v>
      </c>
      <c r="BO122">
        <v>162.9</v>
      </c>
      <c r="BQ122" t="s">
        <v>546</v>
      </c>
      <c r="BR122" t="s">
        <v>150</v>
      </c>
      <c r="BS122" s="3">
        <v>44818</v>
      </c>
      <c r="BT122" s="4">
        <v>0.68819444444444444</v>
      </c>
      <c r="BU122" t="s">
        <v>547</v>
      </c>
      <c r="BV122" t="s">
        <v>84</v>
      </c>
      <c r="BY122">
        <v>56859.66</v>
      </c>
      <c r="BZ122" t="s">
        <v>111</v>
      </c>
      <c r="CA122" t="s">
        <v>548</v>
      </c>
      <c r="CC122" t="s">
        <v>88</v>
      </c>
      <c r="CD122">
        <v>1610</v>
      </c>
      <c r="CE122" t="s">
        <v>86</v>
      </c>
      <c r="CI122">
        <v>3</v>
      </c>
      <c r="CJ122">
        <v>2</v>
      </c>
      <c r="CK122">
        <v>41</v>
      </c>
    </row>
    <row r="123" spans="1:89" x14ac:dyDescent="0.3">
      <c r="A123" t="s">
        <v>72</v>
      </c>
      <c r="B123" t="s">
        <v>73</v>
      </c>
      <c r="C123" t="s">
        <v>74</v>
      </c>
      <c r="E123" t="str">
        <f>"009942558888"</f>
        <v>009942558888</v>
      </c>
      <c r="F123" s="3">
        <v>44816</v>
      </c>
      <c r="G123">
        <v>202306</v>
      </c>
      <c r="H123" t="s">
        <v>90</v>
      </c>
      <c r="I123" t="s">
        <v>91</v>
      </c>
      <c r="J123" t="s">
        <v>147</v>
      </c>
      <c r="L123" t="s">
        <v>226</v>
      </c>
      <c r="M123" t="s">
        <v>227</v>
      </c>
      <c r="N123" t="s">
        <v>549</v>
      </c>
      <c r="O123" t="s">
        <v>127</v>
      </c>
      <c r="P123" t="str">
        <f>"INV186127"</f>
        <v>INV186127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52.2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1.4</v>
      </c>
      <c r="BJ123">
        <v>8.3000000000000007</v>
      </c>
      <c r="BK123">
        <v>9</v>
      </c>
      <c r="BL123">
        <v>141.65</v>
      </c>
      <c r="BM123">
        <v>21.25</v>
      </c>
      <c r="BN123">
        <v>162.9</v>
      </c>
      <c r="BO123">
        <v>162.9</v>
      </c>
      <c r="BQ123" t="s">
        <v>550</v>
      </c>
      <c r="BR123" t="s">
        <v>150</v>
      </c>
      <c r="BS123" s="3">
        <v>44818</v>
      </c>
      <c r="BT123" s="4">
        <v>0.35486111111111113</v>
      </c>
      <c r="BU123" t="s">
        <v>551</v>
      </c>
      <c r="BV123" t="s">
        <v>84</v>
      </c>
      <c r="BY123">
        <v>41364.400000000001</v>
      </c>
      <c r="BZ123" t="s">
        <v>111</v>
      </c>
      <c r="CA123" t="s">
        <v>435</v>
      </c>
      <c r="CC123" t="s">
        <v>227</v>
      </c>
      <c r="CD123">
        <v>1459</v>
      </c>
      <c r="CE123" t="s">
        <v>86</v>
      </c>
      <c r="CI123">
        <v>3</v>
      </c>
      <c r="CJ123">
        <v>2</v>
      </c>
      <c r="CK123">
        <v>41</v>
      </c>
    </row>
    <row r="124" spans="1:89" x14ac:dyDescent="0.3">
      <c r="A124" t="s">
        <v>72</v>
      </c>
      <c r="B124" t="s">
        <v>73</v>
      </c>
      <c r="C124" t="s">
        <v>74</v>
      </c>
      <c r="E124" t="str">
        <f>"009942558894"</f>
        <v>009942558894</v>
      </c>
      <c r="F124" s="3">
        <v>44816</v>
      </c>
      <c r="G124">
        <v>202306</v>
      </c>
      <c r="H124" t="s">
        <v>90</v>
      </c>
      <c r="I124" t="s">
        <v>91</v>
      </c>
      <c r="J124" t="s">
        <v>147</v>
      </c>
      <c r="L124" t="s">
        <v>90</v>
      </c>
      <c r="M124" t="s">
        <v>91</v>
      </c>
      <c r="N124" t="s">
        <v>552</v>
      </c>
      <c r="O124" t="s">
        <v>107</v>
      </c>
      <c r="P124" t="str">
        <f>"SAAHBEER"</f>
        <v>SAAHBEER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23.46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2.2999999999999998</v>
      </c>
      <c r="BJ124">
        <v>8.1999999999999993</v>
      </c>
      <c r="BK124">
        <v>9</v>
      </c>
      <c r="BL124">
        <v>61.3</v>
      </c>
      <c r="BM124">
        <v>9.1999999999999993</v>
      </c>
      <c r="BN124">
        <v>70.5</v>
      </c>
      <c r="BO124">
        <v>70.5</v>
      </c>
      <c r="BQ124" t="s">
        <v>553</v>
      </c>
      <c r="BR124" t="s">
        <v>150</v>
      </c>
      <c r="BS124" s="3">
        <v>44817</v>
      </c>
      <c r="BT124" s="4">
        <v>0.46180555555555558</v>
      </c>
      <c r="BU124" t="s">
        <v>554</v>
      </c>
      <c r="BV124" t="s">
        <v>84</v>
      </c>
      <c r="BY124">
        <v>40899.879999999997</v>
      </c>
      <c r="BZ124" t="s">
        <v>111</v>
      </c>
      <c r="CA124" t="s">
        <v>555</v>
      </c>
      <c r="CC124" t="s">
        <v>91</v>
      </c>
      <c r="CD124">
        <v>8000</v>
      </c>
      <c r="CE124" t="s">
        <v>86</v>
      </c>
      <c r="CI124">
        <v>1</v>
      </c>
      <c r="CJ124">
        <v>1</v>
      </c>
      <c r="CK124">
        <v>32</v>
      </c>
    </row>
    <row r="125" spans="1:89" x14ac:dyDescent="0.3">
      <c r="A125" t="s">
        <v>72</v>
      </c>
      <c r="B125" t="s">
        <v>73</v>
      </c>
      <c r="C125" t="s">
        <v>74</v>
      </c>
      <c r="E125" t="str">
        <f>"009942582729"</f>
        <v>009942582729</v>
      </c>
      <c r="F125" s="3">
        <v>44816</v>
      </c>
      <c r="G125">
        <v>202306</v>
      </c>
      <c r="H125" t="s">
        <v>75</v>
      </c>
      <c r="I125" t="s">
        <v>76</v>
      </c>
      <c r="J125" t="s">
        <v>556</v>
      </c>
      <c r="L125" t="s">
        <v>90</v>
      </c>
      <c r="M125" t="s">
        <v>91</v>
      </c>
      <c r="N125" t="s">
        <v>557</v>
      </c>
      <c r="O125" t="s">
        <v>81</v>
      </c>
      <c r="P125" t="str">
        <f>""</f>
        <v/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101.2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4.2</v>
      </c>
      <c r="BJ125">
        <v>7.5</v>
      </c>
      <c r="BK125">
        <v>7.5</v>
      </c>
      <c r="BL125">
        <v>264.42</v>
      </c>
      <c r="BM125">
        <v>39.659999999999997</v>
      </c>
      <c r="BN125">
        <v>304.08</v>
      </c>
      <c r="BO125">
        <v>304.08</v>
      </c>
      <c r="BR125" t="s">
        <v>558</v>
      </c>
      <c r="BS125" s="3">
        <v>44817</v>
      </c>
      <c r="BT125" s="4">
        <v>0.41805555555555557</v>
      </c>
      <c r="BU125" t="s">
        <v>559</v>
      </c>
      <c r="BV125" t="s">
        <v>84</v>
      </c>
      <c r="BY125">
        <v>37736.379999999997</v>
      </c>
      <c r="BZ125" t="s">
        <v>116</v>
      </c>
      <c r="CA125" t="s">
        <v>542</v>
      </c>
      <c r="CC125" t="s">
        <v>91</v>
      </c>
      <c r="CD125">
        <v>7404</v>
      </c>
      <c r="CE125" t="s">
        <v>86</v>
      </c>
      <c r="CI125">
        <v>1</v>
      </c>
      <c r="CJ125">
        <v>1</v>
      </c>
      <c r="CK125">
        <v>21</v>
      </c>
    </row>
    <row r="126" spans="1:89" x14ac:dyDescent="0.3">
      <c r="A126" t="s">
        <v>72</v>
      </c>
      <c r="B126" t="s">
        <v>73</v>
      </c>
      <c r="C126" t="s">
        <v>74</v>
      </c>
      <c r="E126" t="str">
        <f>"009942599252"</f>
        <v>009942599252</v>
      </c>
      <c r="F126" s="3">
        <v>44816</v>
      </c>
      <c r="G126">
        <v>202306</v>
      </c>
      <c r="H126" t="s">
        <v>87</v>
      </c>
      <c r="I126" t="s">
        <v>88</v>
      </c>
      <c r="J126" t="s">
        <v>560</v>
      </c>
      <c r="L126" t="s">
        <v>90</v>
      </c>
      <c r="M126" t="s">
        <v>91</v>
      </c>
      <c r="N126" t="s">
        <v>561</v>
      </c>
      <c r="O126" t="s">
        <v>127</v>
      </c>
      <c r="P126" t="str">
        <f>"NA"</f>
        <v>NA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60.81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4.5</v>
      </c>
      <c r="BJ126">
        <v>18.7</v>
      </c>
      <c r="BK126">
        <v>19</v>
      </c>
      <c r="BL126">
        <v>164.14</v>
      </c>
      <c r="BM126">
        <v>24.62</v>
      </c>
      <c r="BN126">
        <v>188.76</v>
      </c>
      <c r="BO126">
        <v>188.76</v>
      </c>
      <c r="BQ126" t="s">
        <v>148</v>
      </c>
      <c r="BR126" t="s">
        <v>148</v>
      </c>
      <c r="BS126" s="3">
        <v>44818</v>
      </c>
      <c r="BT126" s="4">
        <v>0.3576388888888889</v>
      </c>
      <c r="BU126" t="s">
        <v>562</v>
      </c>
      <c r="BV126" t="s">
        <v>84</v>
      </c>
      <c r="BY126">
        <v>93421.9</v>
      </c>
      <c r="BZ126" t="s">
        <v>111</v>
      </c>
      <c r="CA126" t="s">
        <v>172</v>
      </c>
      <c r="CC126" t="s">
        <v>91</v>
      </c>
      <c r="CD126">
        <v>7945</v>
      </c>
      <c r="CE126" t="s">
        <v>86</v>
      </c>
      <c r="CI126">
        <v>3</v>
      </c>
      <c r="CJ126">
        <v>2</v>
      </c>
      <c r="CK126">
        <v>41</v>
      </c>
    </row>
    <row r="127" spans="1:89" x14ac:dyDescent="0.3">
      <c r="A127" t="s">
        <v>72</v>
      </c>
      <c r="B127" t="s">
        <v>73</v>
      </c>
      <c r="C127" t="s">
        <v>74</v>
      </c>
      <c r="E127" t="str">
        <f>"009942278711"</f>
        <v>009942278711</v>
      </c>
      <c r="F127" s="3">
        <v>44816</v>
      </c>
      <c r="G127">
        <v>202306</v>
      </c>
      <c r="H127" t="s">
        <v>87</v>
      </c>
      <c r="I127" t="s">
        <v>88</v>
      </c>
      <c r="J127" t="s">
        <v>414</v>
      </c>
      <c r="L127" t="s">
        <v>75</v>
      </c>
      <c r="M127" t="s">
        <v>76</v>
      </c>
      <c r="N127" t="s">
        <v>563</v>
      </c>
      <c r="O127" t="s">
        <v>81</v>
      </c>
      <c r="P127" t="str">
        <f>"N A"</f>
        <v>N A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21.09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0.2</v>
      </c>
      <c r="BJ127">
        <v>1</v>
      </c>
      <c r="BK127">
        <v>1</v>
      </c>
      <c r="BL127">
        <v>55.1</v>
      </c>
      <c r="BM127">
        <v>8.27</v>
      </c>
      <c r="BN127">
        <v>63.37</v>
      </c>
      <c r="BO127">
        <v>63.37</v>
      </c>
      <c r="BQ127" t="s">
        <v>564</v>
      </c>
      <c r="BR127" t="s">
        <v>82</v>
      </c>
      <c r="BS127" s="3">
        <v>44817</v>
      </c>
      <c r="BT127" s="4">
        <v>0.42708333333333331</v>
      </c>
      <c r="BU127" t="s">
        <v>565</v>
      </c>
      <c r="BV127" t="s">
        <v>84</v>
      </c>
      <c r="BY127">
        <v>5124.95</v>
      </c>
      <c r="BZ127" t="s">
        <v>116</v>
      </c>
      <c r="CA127" t="s">
        <v>215</v>
      </c>
      <c r="CC127" t="s">
        <v>76</v>
      </c>
      <c r="CD127">
        <v>2049</v>
      </c>
      <c r="CE127" t="s">
        <v>86</v>
      </c>
      <c r="CI127">
        <v>1</v>
      </c>
      <c r="CJ127">
        <v>1</v>
      </c>
      <c r="CK127">
        <v>22</v>
      </c>
    </row>
    <row r="128" spans="1:89" x14ac:dyDescent="0.3">
      <c r="A128" t="s">
        <v>72</v>
      </c>
      <c r="B128" t="s">
        <v>73</v>
      </c>
      <c r="C128" t="s">
        <v>74</v>
      </c>
      <c r="E128" t="str">
        <f>"080010590577"</f>
        <v>080010590577</v>
      </c>
      <c r="F128" s="3">
        <v>44817</v>
      </c>
      <c r="G128">
        <v>202306</v>
      </c>
      <c r="H128" t="s">
        <v>330</v>
      </c>
      <c r="I128" t="s">
        <v>331</v>
      </c>
      <c r="J128" t="s">
        <v>566</v>
      </c>
      <c r="N128" t="s">
        <v>567</v>
      </c>
      <c r="O128" t="s">
        <v>81</v>
      </c>
      <c r="P128" t="str">
        <f>"ORDER L4565 (12 X Brackets) "</f>
        <v xml:space="preserve">ORDER L4565 (12 X Brackets)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161.91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5</v>
      </c>
      <c r="BJ128">
        <v>12</v>
      </c>
      <c r="BK128">
        <v>12</v>
      </c>
      <c r="BL128">
        <v>423.05</v>
      </c>
      <c r="BM128">
        <v>63.46</v>
      </c>
      <c r="BN128">
        <v>486.51</v>
      </c>
      <c r="BO128">
        <v>486.51</v>
      </c>
      <c r="BP128" t="s">
        <v>197</v>
      </c>
      <c r="BQ128" t="s">
        <v>568</v>
      </c>
      <c r="BR128" t="s">
        <v>569</v>
      </c>
      <c r="BS128" s="3">
        <v>44818</v>
      </c>
      <c r="BT128" s="4">
        <v>0.43055555555555558</v>
      </c>
      <c r="BU128" t="s">
        <v>570</v>
      </c>
      <c r="BV128" t="s">
        <v>84</v>
      </c>
      <c r="BY128">
        <v>60000</v>
      </c>
      <c r="CA128" t="s">
        <v>435</v>
      </c>
      <c r="CD128">
        <v>1620</v>
      </c>
      <c r="CE128" t="s">
        <v>571</v>
      </c>
      <c r="CI128">
        <v>1</v>
      </c>
      <c r="CJ128">
        <v>1</v>
      </c>
      <c r="CK128">
        <v>21</v>
      </c>
    </row>
    <row r="129" spans="1:89" x14ac:dyDescent="0.3">
      <c r="A129" t="s">
        <v>72</v>
      </c>
      <c r="B129" t="s">
        <v>73</v>
      </c>
      <c r="C129" t="s">
        <v>74</v>
      </c>
      <c r="E129" t="str">
        <f>"009942581169"</f>
        <v>009942581169</v>
      </c>
      <c r="F129" s="3">
        <v>44817</v>
      </c>
      <c r="G129">
        <v>202306</v>
      </c>
      <c r="H129" t="s">
        <v>90</v>
      </c>
      <c r="I129" t="s">
        <v>91</v>
      </c>
      <c r="J129" t="s">
        <v>147</v>
      </c>
      <c r="L129" t="s">
        <v>499</v>
      </c>
      <c r="M129" t="s">
        <v>500</v>
      </c>
      <c r="N129" t="s">
        <v>572</v>
      </c>
      <c r="O129" t="s">
        <v>127</v>
      </c>
      <c r="P129" t="str">
        <f>"INV9091"</f>
        <v>INV9091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63.66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4.4000000000000004</v>
      </c>
      <c r="BJ129">
        <v>18.600000000000001</v>
      </c>
      <c r="BK129">
        <v>19</v>
      </c>
      <c r="BL129">
        <v>171.58</v>
      </c>
      <c r="BM129">
        <v>25.74</v>
      </c>
      <c r="BN129">
        <v>197.32</v>
      </c>
      <c r="BO129">
        <v>197.32</v>
      </c>
      <c r="BQ129" t="s">
        <v>128</v>
      </c>
      <c r="BR129" t="s">
        <v>150</v>
      </c>
      <c r="BS129" s="3">
        <v>44818</v>
      </c>
      <c r="BT129" s="4">
        <v>0.52013888888888882</v>
      </c>
      <c r="BU129" t="s">
        <v>95</v>
      </c>
      <c r="BV129" t="s">
        <v>84</v>
      </c>
      <c r="BY129">
        <v>93022.56</v>
      </c>
      <c r="BZ129" t="s">
        <v>111</v>
      </c>
      <c r="CA129" t="s">
        <v>236</v>
      </c>
      <c r="CC129" t="s">
        <v>500</v>
      </c>
      <c r="CD129">
        <v>7130</v>
      </c>
      <c r="CE129" t="s">
        <v>86</v>
      </c>
      <c r="CI129">
        <v>4</v>
      </c>
      <c r="CJ129">
        <v>1</v>
      </c>
      <c r="CK129">
        <v>44</v>
      </c>
    </row>
    <row r="130" spans="1:89" x14ac:dyDescent="0.3">
      <c r="A130" t="s">
        <v>72</v>
      </c>
      <c r="B130" t="s">
        <v>73</v>
      </c>
      <c r="C130" t="s">
        <v>74</v>
      </c>
      <c r="E130" t="str">
        <f>"009942581164"</f>
        <v>009942581164</v>
      </c>
      <c r="F130" s="3">
        <v>44817</v>
      </c>
      <c r="G130">
        <v>202306</v>
      </c>
      <c r="H130" t="s">
        <v>90</v>
      </c>
      <c r="I130" t="s">
        <v>91</v>
      </c>
      <c r="J130" t="s">
        <v>147</v>
      </c>
      <c r="L130" t="s">
        <v>573</v>
      </c>
      <c r="M130" t="s">
        <v>574</v>
      </c>
      <c r="N130" t="s">
        <v>148</v>
      </c>
      <c r="O130" t="s">
        <v>127</v>
      </c>
      <c r="P130" t="str">
        <f>"INV186176"</f>
        <v>INV186176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57.65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0.8</v>
      </c>
      <c r="BJ130">
        <v>3.1</v>
      </c>
      <c r="BK130">
        <v>4</v>
      </c>
      <c r="BL130">
        <v>155.88999999999999</v>
      </c>
      <c r="BM130">
        <v>23.38</v>
      </c>
      <c r="BN130">
        <v>179.27</v>
      </c>
      <c r="BO130">
        <v>179.27</v>
      </c>
      <c r="BQ130" t="s">
        <v>575</v>
      </c>
      <c r="BR130" t="s">
        <v>150</v>
      </c>
      <c r="BS130" s="3">
        <v>44819</v>
      </c>
      <c r="BT130" s="4">
        <v>0.53402777777777777</v>
      </c>
      <c r="BU130" t="s">
        <v>576</v>
      </c>
      <c r="BV130" t="s">
        <v>84</v>
      </c>
      <c r="BY130">
        <v>15468.48</v>
      </c>
      <c r="BZ130" t="s">
        <v>111</v>
      </c>
      <c r="CC130" t="s">
        <v>574</v>
      </c>
      <c r="CD130">
        <v>7345</v>
      </c>
      <c r="CE130" t="s">
        <v>86</v>
      </c>
      <c r="CI130">
        <v>4</v>
      </c>
      <c r="CJ130">
        <v>2</v>
      </c>
      <c r="CK130">
        <v>44</v>
      </c>
    </row>
    <row r="131" spans="1:89" x14ac:dyDescent="0.3">
      <c r="A131" t="s">
        <v>72</v>
      </c>
      <c r="B131" t="s">
        <v>73</v>
      </c>
      <c r="C131" t="s">
        <v>74</v>
      </c>
      <c r="E131" t="str">
        <f>"009942581168"</f>
        <v>009942581168</v>
      </c>
      <c r="F131" s="3">
        <v>44817</v>
      </c>
      <c r="G131">
        <v>202306</v>
      </c>
      <c r="H131" t="s">
        <v>90</v>
      </c>
      <c r="I131" t="s">
        <v>91</v>
      </c>
      <c r="J131" t="s">
        <v>147</v>
      </c>
      <c r="L131" t="s">
        <v>207</v>
      </c>
      <c r="M131" t="s">
        <v>208</v>
      </c>
      <c r="N131" t="s">
        <v>148</v>
      </c>
      <c r="O131" t="s">
        <v>127</v>
      </c>
      <c r="P131" t="str">
        <f>""</f>
        <v/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52.2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2.2999999999999998</v>
      </c>
      <c r="BJ131">
        <v>12</v>
      </c>
      <c r="BK131">
        <v>12</v>
      </c>
      <c r="BL131">
        <v>141.65</v>
      </c>
      <c r="BM131">
        <v>21.25</v>
      </c>
      <c r="BN131">
        <v>162.9</v>
      </c>
      <c r="BO131">
        <v>162.9</v>
      </c>
      <c r="BQ131" t="s">
        <v>577</v>
      </c>
      <c r="BR131" t="s">
        <v>150</v>
      </c>
      <c r="BS131" s="3">
        <v>44820</v>
      </c>
      <c r="BT131" s="4">
        <v>0.3215277777777778</v>
      </c>
      <c r="BU131" t="s">
        <v>578</v>
      </c>
      <c r="BV131" t="s">
        <v>97</v>
      </c>
      <c r="BY131">
        <v>60181.77</v>
      </c>
      <c r="BZ131" t="s">
        <v>111</v>
      </c>
      <c r="CA131" t="s">
        <v>579</v>
      </c>
      <c r="CC131" t="s">
        <v>208</v>
      </c>
      <c r="CD131">
        <v>2194</v>
      </c>
      <c r="CE131" t="s">
        <v>86</v>
      </c>
      <c r="CI131">
        <v>3</v>
      </c>
      <c r="CJ131">
        <v>3</v>
      </c>
      <c r="CK131">
        <v>41</v>
      </c>
    </row>
    <row r="132" spans="1:89" x14ac:dyDescent="0.3">
      <c r="A132" t="s">
        <v>72</v>
      </c>
      <c r="B132" t="s">
        <v>73</v>
      </c>
      <c r="C132" t="s">
        <v>74</v>
      </c>
      <c r="E132" t="str">
        <f>"009942581166"</f>
        <v>009942581166</v>
      </c>
      <c r="F132" s="3">
        <v>44817</v>
      </c>
      <c r="G132">
        <v>202306</v>
      </c>
      <c r="H132" t="s">
        <v>90</v>
      </c>
      <c r="I132" t="s">
        <v>91</v>
      </c>
      <c r="J132" t="s">
        <v>147</v>
      </c>
      <c r="L132" t="s">
        <v>499</v>
      </c>
      <c r="M132" t="s">
        <v>500</v>
      </c>
      <c r="N132" t="s">
        <v>148</v>
      </c>
      <c r="O132" t="s">
        <v>127</v>
      </c>
      <c r="P132" t="str">
        <f>"INV186180"</f>
        <v>INV186180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57.65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1.1000000000000001</v>
      </c>
      <c r="BJ132">
        <v>7.1</v>
      </c>
      <c r="BK132">
        <v>8</v>
      </c>
      <c r="BL132">
        <v>155.88999999999999</v>
      </c>
      <c r="BM132">
        <v>23.38</v>
      </c>
      <c r="BN132">
        <v>179.27</v>
      </c>
      <c r="BO132">
        <v>179.27</v>
      </c>
      <c r="BP132" t="s">
        <v>580</v>
      </c>
      <c r="BQ132" t="s">
        <v>581</v>
      </c>
      <c r="BR132" t="s">
        <v>150</v>
      </c>
      <c r="BS132" s="3">
        <v>44819</v>
      </c>
      <c r="BT132" s="4">
        <v>0.54583333333333328</v>
      </c>
      <c r="BU132" t="s">
        <v>582</v>
      </c>
      <c r="BV132" t="s">
        <v>97</v>
      </c>
      <c r="BY132">
        <v>35372.699999999997</v>
      </c>
      <c r="BZ132" t="s">
        <v>111</v>
      </c>
      <c r="CA132" t="s">
        <v>473</v>
      </c>
      <c r="CC132" t="s">
        <v>500</v>
      </c>
      <c r="CD132">
        <v>7130</v>
      </c>
      <c r="CE132" t="s">
        <v>86</v>
      </c>
      <c r="CI132">
        <v>4</v>
      </c>
      <c r="CJ132">
        <v>2</v>
      </c>
      <c r="CK132">
        <v>44</v>
      </c>
    </row>
    <row r="133" spans="1:89" x14ac:dyDescent="0.3">
      <c r="A133" t="s">
        <v>72</v>
      </c>
      <c r="B133" t="s">
        <v>73</v>
      </c>
      <c r="C133" t="s">
        <v>74</v>
      </c>
      <c r="E133" t="str">
        <f>"009942581163"</f>
        <v>009942581163</v>
      </c>
      <c r="F133" s="3">
        <v>44817</v>
      </c>
      <c r="G133">
        <v>202306</v>
      </c>
      <c r="H133" t="s">
        <v>90</v>
      </c>
      <c r="I133" t="s">
        <v>91</v>
      </c>
      <c r="J133" t="s">
        <v>147</v>
      </c>
      <c r="L133" t="s">
        <v>389</v>
      </c>
      <c r="M133" t="s">
        <v>390</v>
      </c>
      <c r="N133" t="s">
        <v>583</v>
      </c>
      <c r="O133" t="s">
        <v>127</v>
      </c>
      <c r="P133" t="str">
        <f>"INV186175"</f>
        <v>INV186175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52.2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0.3</v>
      </c>
      <c r="BJ133">
        <v>0.9</v>
      </c>
      <c r="BK133">
        <v>1</v>
      </c>
      <c r="BL133">
        <v>141.65</v>
      </c>
      <c r="BM133">
        <v>21.25</v>
      </c>
      <c r="BN133">
        <v>162.9</v>
      </c>
      <c r="BO133">
        <v>162.9</v>
      </c>
      <c r="BQ133" t="s">
        <v>584</v>
      </c>
      <c r="BR133" t="s">
        <v>150</v>
      </c>
      <c r="BS133" s="3">
        <v>44820</v>
      </c>
      <c r="BT133" s="4">
        <v>0.35000000000000003</v>
      </c>
      <c r="BU133" s="5">
        <v>9942581168</v>
      </c>
      <c r="BV133" t="s">
        <v>97</v>
      </c>
      <c r="BY133">
        <v>4281.75</v>
      </c>
      <c r="BZ133" t="s">
        <v>111</v>
      </c>
      <c r="CA133" t="s">
        <v>585</v>
      </c>
      <c r="CC133" t="s">
        <v>390</v>
      </c>
      <c r="CD133">
        <v>1682</v>
      </c>
      <c r="CE133" t="s">
        <v>86</v>
      </c>
      <c r="CI133">
        <v>0</v>
      </c>
      <c r="CJ133">
        <v>0</v>
      </c>
      <c r="CK133">
        <v>41</v>
      </c>
    </row>
    <row r="134" spans="1:89" x14ac:dyDescent="0.3">
      <c r="A134" t="s">
        <v>72</v>
      </c>
      <c r="B134" t="s">
        <v>73</v>
      </c>
      <c r="C134" t="s">
        <v>74</v>
      </c>
      <c r="E134" t="str">
        <f>"009942581162"</f>
        <v>009942581162</v>
      </c>
      <c r="F134" s="3">
        <v>44817</v>
      </c>
      <c r="G134">
        <v>202306</v>
      </c>
      <c r="H134" t="s">
        <v>90</v>
      </c>
      <c r="I134" t="s">
        <v>91</v>
      </c>
      <c r="J134" t="s">
        <v>147</v>
      </c>
      <c r="L134" t="s">
        <v>439</v>
      </c>
      <c r="M134" t="s">
        <v>440</v>
      </c>
      <c r="N134" t="s">
        <v>586</v>
      </c>
      <c r="O134" t="s">
        <v>127</v>
      </c>
      <c r="P134" t="str">
        <f>"INV186172"</f>
        <v>INV186172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73.63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0.1</v>
      </c>
      <c r="BJ134">
        <v>0.7</v>
      </c>
      <c r="BK134">
        <v>1</v>
      </c>
      <c r="BL134">
        <v>197.63</v>
      </c>
      <c r="BM134">
        <v>29.64</v>
      </c>
      <c r="BN134">
        <v>227.27</v>
      </c>
      <c r="BO134">
        <v>227.27</v>
      </c>
      <c r="BQ134" t="s">
        <v>587</v>
      </c>
      <c r="BR134" t="s">
        <v>150</v>
      </c>
      <c r="BS134" s="3">
        <v>44819</v>
      </c>
      <c r="BT134" s="4">
        <v>0.57013888888888886</v>
      </c>
      <c r="BU134" t="s">
        <v>588</v>
      </c>
      <c r="BV134" t="s">
        <v>84</v>
      </c>
      <c r="BY134">
        <v>3507.4</v>
      </c>
      <c r="BZ134" t="s">
        <v>111</v>
      </c>
      <c r="CA134">
        <v>80051561679</v>
      </c>
      <c r="CC134" t="s">
        <v>440</v>
      </c>
      <c r="CD134">
        <v>6600</v>
      </c>
      <c r="CE134" t="s">
        <v>86</v>
      </c>
      <c r="CI134">
        <v>4</v>
      </c>
      <c r="CJ134">
        <v>2</v>
      </c>
      <c r="CK134">
        <v>43</v>
      </c>
    </row>
    <row r="135" spans="1:89" x14ac:dyDescent="0.3">
      <c r="A135" t="s">
        <v>72</v>
      </c>
      <c r="B135" t="s">
        <v>73</v>
      </c>
      <c r="C135" t="s">
        <v>74</v>
      </c>
      <c r="E135" t="str">
        <f>"009942581165"</f>
        <v>009942581165</v>
      </c>
      <c r="F135" s="3">
        <v>44817</v>
      </c>
      <c r="G135">
        <v>202306</v>
      </c>
      <c r="H135" t="s">
        <v>90</v>
      </c>
      <c r="I135" t="s">
        <v>91</v>
      </c>
      <c r="J135" t="s">
        <v>147</v>
      </c>
      <c r="L135" t="s">
        <v>75</v>
      </c>
      <c r="M135" t="s">
        <v>76</v>
      </c>
      <c r="N135" t="s">
        <v>148</v>
      </c>
      <c r="O135" t="s">
        <v>127</v>
      </c>
      <c r="P135" t="str">
        <f>"INV186178"</f>
        <v>INV186178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52.2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0.4</v>
      </c>
      <c r="BJ135">
        <v>1.8</v>
      </c>
      <c r="BK135">
        <v>2</v>
      </c>
      <c r="BL135">
        <v>141.65</v>
      </c>
      <c r="BM135">
        <v>21.25</v>
      </c>
      <c r="BN135">
        <v>162.9</v>
      </c>
      <c r="BO135">
        <v>162.9</v>
      </c>
      <c r="BQ135" t="s">
        <v>589</v>
      </c>
      <c r="BR135" t="s">
        <v>150</v>
      </c>
      <c r="BS135" s="3">
        <v>44825</v>
      </c>
      <c r="BT135" s="4">
        <v>0.59722222222222221</v>
      </c>
      <c r="BU135" t="s">
        <v>590</v>
      </c>
      <c r="BV135" t="s">
        <v>97</v>
      </c>
      <c r="BY135">
        <v>8949.6</v>
      </c>
      <c r="BZ135" t="s">
        <v>111</v>
      </c>
      <c r="CA135" t="s">
        <v>591</v>
      </c>
      <c r="CC135" t="s">
        <v>76</v>
      </c>
      <c r="CD135">
        <v>2095</v>
      </c>
      <c r="CE135" t="s">
        <v>86</v>
      </c>
      <c r="CI135">
        <v>0</v>
      </c>
      <c r="CJ135">
        <v>0</v>
      </c>
      <c r="CK135">
        <v>41</v>
      </c>
    </row>
    <row r="136" spans="1:89" x14ac:dyDescent="0.3">
      <c r="A136" t="s">
        <v>72</v>
      </c>
      <c r="B136" t="s">
        <v>73</v>
      </c>
      <c r="C136" t="s">
        <v>74</v>
      </c>
      <c r="E136" t="str">
        <f>"009942581167"</f>
        <v>009942581167</v>
      </c>
      <c r="F136" s="3">
        <v>44817</v>
      </c>
      <c r="G136">
        <v>202306</v>
      </c>
      <c r="H136" t="s">
        <v>90</v>
      </c>
      <c r="I136" t="s">
        <v>91</v>
      </c>
      <c r="J136" t="s">
        <v>147</v>
      </c>
      <c r="L136" t="s">
        <v>207</v>
      </c>
      <c r="M136" t="s">
        <v>208</v>
      </c>
      <c r="N136" t="s">
        <v>148</v>
      </c>
      <c r="O136" t="s">
        <v>107</v>
      </c>
      <c r="P136" t="str">
        <f>"INV186197"</f>
        <v>INV186197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50.62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0.3</v>
      </c>
      <c r="BJ136">
        <v>0.9</v>
      </c>
      <c r="BK136">
        <v>1</v>
      </c>
      <c r="BL136">
        <v>132.26</v>
      </c>
      <c r="BM136">
        <v>19.84</v>
      </c>
      <c r="BN136">
        <v>152.1</v>
      </c>
      <c r="BO136">
        <v>152.1</v>
      </c>
      <c r="BQ136" t="s">
        <v>592</v>
      </c>
      <c r="BR136" t="s">
        <v>150</v>
      </c>
      <c r="BS136" s="3">
        <v>44818</v>
      </c>
      <c r="BT136" s="4">
        <v>0.41666666666666669</v>
      </c>
      <c r="BU136" t="s">
        <v>593</v>
      </c>
      <c r="BV136" t="s">
        <v>84</v>
      </c>
      <c r="BY136">
        <v>4677.3999999999996</v>
      </c>
      <c r="BZ136" t="s">
        <v>111</v>
      </c>
      <c r="CA136" t="s">
        <v>219</v>
      </c>
      <c r="CC136" t="s">
        <v>208</v>
      </c>
      <c r="CD136">
        <v>2155</v>
      </c>
      <c r="CE136" t="s">
        <v>86</v>
      </c>
      <c r="CI136">
        <v>1</v>
      </c>
      <c r="CJ136">
        <v>1</v>
      </c>
      <c r="CK136">
        <v>31</v>
      </c>
    </row>
    <row r="137" spans="1:89" x14ac:dyDescent="0.3">
      <c r="A137" t="s">
        <v>72</v>
      </c>
      <c r="B137" t="s">
        <v>73</v>
      </c>
      <c r="C137" t="s">
        <v>74</v>
      </c>
      <c r="E137" t="str">
        <f>"009942278713"</f>
        <v>009942278713</v>
      </c>
      <c r="F137" s="3">
        <v>44817</v>
      </c>
      <c r="G137">
        <v>202306</v>
      </c>
      <c r="H137" t="s">
        <v>87</v>
      </c>
      <c r="I137" t="s">
        <v>88</v>
      </c>
      <c r="J137" t="s">
        <v>414</v>
      </c>
      <c r="L137" t="s">
        <v>220</v>
      </c>
      <c r="M137" t="s">
        <v>221</v>
      </c>
      <c r="N137" t="s">
        <v>594</v>
      </c>
      <c r="O137" t="s">
        <v>81</v>
      </c>
      <c r="P137" t="str">
        <f>"N A"</f>
        <v>N A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21.09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1.6</v>
      </c>
      <c r="BJ137">
        <v>0.6</v>
      </c>
      <c r="BK137">
        <v>2</v>
      </c>
      <c r="BL137">
        <v>55.1</v>
      </c>
      <c r="BM137">
        <v>8.27</v>
      </c>
      <c r="BN137">
        <v>63.37</v>
      </c>
      <c r="BO137">
        <v>63.37</v>
      </c>
      <c r="BQ137" t="s">
        <v>223</v>
      </c>
      <c r="BR137" t="s">
        <v>82</v>
      </c>
      <c r="BS137" s="3">
        <v>44826</v>
      </c>
      <c r="BT137" s="4">
        <v>0.32083333333333336</v>
      </c>
      <c r="BU137" t="s">
        <v>224</v>
      </c>
      <c r="BV137" t="s">
        <v>97</v>
      </c>
      <c r="BY137">
        <v>2922.15</v>
      </c>
      <c r="BZ137" t="s">
        <v>116</v>
      </c>
      <c r="CA137" t="s">
        <v>225</v>
      </c>
      <c r="CC137" t="s">
        <v>221</v>
      </c>
      <c r="CD137">
        <v>1422</v>
      </c>
      <c r="CE137" t="s">
        <v>86</v>
      </c>
      <c r="CI137">
        <v>1</v>
      </c>
      <c r="CJ137">
        <v>7</v>
      </c>
      <c r="CK137">
        <v>22</v>
      </c>
    </row>
    <row r="138" spans="1:89" x14ac:dyDescent="0.3">
      <c r="A138" t="s">
        <v>72</v>
      </c>
      <c r="B138" t="s">
        <v>73</v>
      </c>
      <c r="C138" t="s">
        <v>74</v>
      </c>
      <c r="E138" t="str">
        <f>"009942278712"</f>
        <v>009942278712</v>
      </c>
      <c r="F138" s="3">
        <v>44817</v>
      </c>
      <c r="G138">
        <v>202306</v>
      </c>
      <c r="H138" t="s">
        <v>87</v>
      </c>
      <c r="I138" t="s">
        <v>88</v>
      </c>
      <c r="J138" t="s">
        <v>414</v>
      </c>
      <c r="L138" t="s">
        <v>118</v>
      </c>
      <c r="M138" t="s">
        <v>119</v>
      </c>
      <c r="N138" t="s">
        <v>595</v>
      </c>
      <c r="O138" t="s">
        <v>81</v>
      </c>
      <c r="P138" t="str">
        <f>"J27432"</f>
        <v>J27432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26.99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0.6</v>
      </c>
      <c r="BJ138">
        <v>1.1000000000000001</v>
      </c>
      <c r="BK138">
        <v>1.5</v>
      </c>
      <c r="BL138">
        <v>70.53</v>
      </c>
      <c r="BM138">
        <v>10.58</v>
      </c>
      <c r="BN138">
        <v>81.11</v>
      </c>
      <c r="BO138">
        <v>81.11</v>
      </c>
      <c r="BQ138" t="s">
        <v>596</v>
      </c>
      <c r="BR138" t="s">
        <v>82</v>
      </c>
      <c r="BS138" s="3">
        <v>44818</v>
      </c>
      <c r="BT138" s="4">
        <v>0.41875000000000001</v>
      </c>
      <c r="BU138" t="s">
        <v>187</v>
      </c>
      <c r="BV138" t="s">
        <v>84</v>
      </c>
      <c r="BY138">
        <v>5683.2</v>
      </c>
      <c r="BZ138" t="s">
        <v>116</v>
      </c>
      <c r="CA138" t="s">
        <v>123</v>
      </c>
      <c r="CC138" t="s">
        <v>119</v>
      </c>
      <c r="CD138">
        <v>184</v>
      </c>
      <c r="CE138" t="s">
        <v>86</v>
      </c>
      <c r="CI138">
        <v>1</v>
      </c>
      <c r="CJ138">
        <v>1</v>
      </c>
      <c r="CK138">
        <v>21</v>
      </c>
    </row>
    <row r="139" spans="1:89" x14ac:dyDescent="0.3">
      <c r="A139" t="s">
        <v>72</v>
      </c>
      <c r="B139" t="s">
        <v>73</v>
      </c>
      <c r="C139" t="s">
        <v>74</v>
      </c>
      <c r="E139" t="str">
        <f>"009942358059"</f>
        <v>009942358059</v>
      </c>
      <c r="F139" s="3">
        <v>44817</v>
      </c>
      <c r="G139">
        <v>202306</v>
      </c>
      <c r="H139" t="s">
        <v>90</v>
      </c>
      <c r="I139" t="s">
        <v>91</v>
      </c>
      <c r="J139" t="s">
        <v>124</v>
      </c>
      <c r="L139" t="s">
        <v>597</v>
      </c>
      <c r="M139" t="s">
        <v>598</v>
      </c>
      <c r="N139" t="s">
        <v>599</v>
      </c>
      <c r="O139" t="s">
        <v>127</v>
      </c>
      <c r="P139" t="str">
        <f>"BWSAR00112969-JC11819"</f>
        <v>BWSAR00112969-JC11819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15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96.21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2</v>
      </c>
      <c r="BI139">
        <v>20.2</v>
      </c>
      <c r="BJ139">
        <v>17.600000000000001</v>
      </c>
      <c r="BK139">
        <v>21</v>
      </c>
      <c r="BL139">
        <v>271.63</v>
      </c>
      <c r="BM139">
        <v>40.74</v>
      </c>
      <c r="BN139">
        <v>312.37</v>
      </c>
      <c r="BO139">
        <v>312.37</v>
      </c>
      <c r="BQ139" t="s">
        <v>128</v>
      </c>
      <c r="BR139" t="s">
        <v>129</v>
      </c>
      <c r="BS139" s="3">
        <v>44819</v>
      </c>
      <c r="BT139" s="4">
        <v>0.4861111111111111</v>
      </c>
      <c r="BU139" t="s">
        <v>600</v>
      </c>
      <c r="BV139" t="s">
        <v>84</v>
      </c>
      <c r="BY139">
        <v>88000</v>
      </c>
      <c r="BZ139" t="s">
        <v>382</v>
      </c>
      <c r="CC139" t="s">
        <v>598</v>
      </c>
      <c r="CD139">
        <v>7340</v>
      </c>
      <c r="CE139" t="s">
        <v>86</v>
      </c>
      <c r="CI139">
        <v>4</v>
      </c>
      <c r="CJ139">
        <v>2</v>
      </c>
      <c r="CK139">
        <v>43</v>
      </c>
    </row>
    <row r="140" spans="1:89" x14ac:dyDescent="0.3">
      <c r="A140" t="s">
        <v>72</v>
      </c>
      <c r="B140" t="s">
        <v>73</v>
      </c>
      <c r="C140" t="s">
        <v>74</v>
      </c>
      <c r="E140" t="str">
        <f>"009942358058"</f>
        <v>009942358058</v>
      </c>
      <c r="F140" s="3">
        <v>44817</v>
      </c>
      <c r="G140">
        <v>202306</v>
      </c>
      <c r="H140" t="s">
        <v>90</v>
      </c>
      <c r="I140" t="s">
        <v>91</v>
      </c>
      <c r="J140" t="s">
        <v>124</v>
      </c>
      <c r="L140" t="s">
        <v>377</v>
      </c>
      <c r="M140" t="s">
        <v>378</v>
      </c>
      <c r="N140" t="s">
        <v>379</v>
      </c>
      <c r="O140" t="s">
        <v>127</v>
      </c>
      <c r="P140" t="str">
        <f>"O ON 25SAR00243888-JC11817 O NO 25SAR00243886-JC11818"</f>
        <v>O ON 25SAR00243888-JC11817 O NO 25SAR00243886-JC11818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15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68.16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21</v>
      </c>
      <c r="BJ140">
        <v>21.6</v>
      </c>
      <c r="BK140">
        <v>22</v>
      </c>
      <c r="BL140">
        <v>198.34</v>
      </c>
      <c r="BM140">
        <v>29.75</v>
      </c>
      <c r="BN140">
        <v>228.09</v>
      </c>
      <c r="BO140">
        <v>228.09</v>
      </c>
      <c r="BQ140" t="s">
        <v>128</v>
      </c>
      <c r="BR140" t="s">
        <v>129</v>
      </c>
      <c r="BS140" s="3">
        <v>44819</v>
      </c>
      <c r="BT140" s="4">
        <v>0.47222222222222227</v>
      </c>
      <c r="BU140" t="s">
        <v>601</v>
      </c>
      <c r="BV140" t="s">
        <v>97</v>
      </c>
      <c r="BY140">
        <v>108000</v>
      </c>
      <c r="BZ140" t="s">
        <v>382</v>
      </c>
      <c r="CA140" t="s">
        <v>383</v>
      </c>
      <c r="CC140" t="s">
        <v>378</v>
      </c>
      <c r="CD140">
        <v>7299</v>
      </c>
      <c r="CE140" t="s">
        <v>86</v>
      </c>
      <c r="CI140">
        <v>4</v>
      </c>
      <c r="CJ140">
        <v>2</v>
      </c>
      <c r="CK140">
        <v>44</v>
      </c>
    </row>
    <row r="141" spans="1:89" x14ac:dyDescent="0.3">
      <c r="A141" t="s">
        <v>72</v>
      </c>
      <c r="B141" t="s">
        <v>73</v>
      </c>
      <c r="C141" t="s">
        <v>74</v>
      </c>
      <c r="E141" t="str">
        <f>"080010591840"</f>
        <v>080010591840</v>
      </c>
      <c r="F141" s="3">
        <v>44818</v>
      </c>
      <c r="G141">
        <v>202306</v>
      </c>
      <c r="H141" t="s">
        <v>75</v>
      </c>
      <c r="I141" t="s">
        <v>76</v>
      </c>
      <c r="J141" t="s">
        <v>602</v>
      </c>
      <c r="L141" t="s">
        <v>87</v>
      </c>
      <c r="M141" t="s">
        <v>88</v>
      </c>
      <c r="N141" t="s">
        <v>603</v>
      </c>
      <c r="O141" t="s">
        <v>81</v>
      </c>
      <c r="P141" t="str">
        <f>"order MK8431"</f>
        <v>order MK8431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21.09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2.4</v>
      </c>
      <c r="BK141">
        <v>2.5</v>
      </c>
      <c r="BL141">
        <v>55.1</v>
      </c>
      <c r="BM141">
        <v>8.27</v>
      </c>
      <c r="BN141">
        <v>63.37</v>
      </c>
      <c r="BO141">
        <v>63.37</v>
      </c>
      <c r="BP141" t="s">
        <v>197</v>
      </c>
      <c r="BQ141" t="s">
        <v>604</v>
      </c>
      <c r="BR141" t="s">
        <v>605</v>
      </c>
      <c r="BS141" s="3">
        <v>44819</v>
      </c>
      <c r="BT141" s="4">
        <v>0.51041666666666663</v>
      </c>
      <c r="BU141" t="s">
        <v>606</v>
      </c>
      <c r="BV141" t="s">
        <v>97</v>
      </c>
      <c r="BY141">
        <v>12000</v>
      </c>
      <c r="BZ141" t="s">
        <v>116</v>
      </c>
      <c r="CC141" t="s">
        <v>88</v>
      </c>
      <c r="CD141">
        <v>1620</v>
      </c>
      <c r="CE141" t="s">
        <v>607</v>
      </c>
      <c r="CI141">
        <v>1</v>
      </c>
      <c r="CJ141">
        <v>1</v>
      </c>
      <c r="CK141">
        <v>22</v>
      </c>
    </row>
    <row r="142" spans="1:89" x14ac:dyDescent="0.3">
      <c r="A142" t="s">
        <v>72</v>
      </c>
      <c r="B142" t="s">
        <v>73</v>
      </c>
      <c r="C142" t="s">
        <v>74</v>
      </c>
      <c r="E142" t="str">
        <f>"080010592085"</f>
        <v>080010592085</v>
      </c>
      <c r="F142" s="3">
        <v>44818</v>
      </c>
      <c r="G142">
        <v>202306</v>
      </c>
      <c r="H142" t="s">
        <v>101</v>
      </c>
      <c r="I142" t="s">
        <v>102</v>
      </c>
      <c r="J142" t="s">
        <v>89</v>
      </c>
      <c r="L142" t="s">
        <v>87</v>
      </c>
      <c r="M142" t="s">
        <v>88</v>
      </c>
      <c r="N142" t="s">
        <v>89</v>
      </c>
      <c r="O142" t="s">
        <v>81</v>
      </c>
      <c r="P142" t="str">
        <f>"X"</f>
        <v>X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26.99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2</v>
      </c>
      <c r="BJ142">
        <v>1.3</v>
      </c>
      <c r="BK142">
        <v>2</v>
      </c>
      <c r="BL142">
        <v>70.53</v>
      </c>
      <c r="BM142">
        <v>10.58</v>
      </c>
      <c r="BN142">
        <v>81.11</v>
      </c>
      <c r="BO142">
        <v>81.11</v>
      </c>
      <c r="BP142" t="s">
        <v>197</v>
      </c>
      <c r="BQ142" t="s">
        <v>608</v>
      </c>
      <c r="BR142" t="s">
        <v>176</v>
      </c>
      <c r="BS142" s="3">
        <v>44819</v>
      </c>
      <c r="BT142" s="4">
        <v>0.51041666666666663</v>
      </c>
      <c r="BU142" t="s">
        <v>606</v>
      </c>
      <c r="BV142" t="s">
        <v>97</v>
      </c>
      <c r="BY142">
        <v>6325</v>
      </c>
      <c r="BZ142" t="s">
        <v>116</v>
      </c>
      <c r="CC142" t="s">
        <v>88</v>
      </c>
      <c r="CD142">
        <v>1620</v>
      </c>
      <c r="CE142" t="s">
        <v>609</v>
      </c>
      <c r="CI142">
        <v>1</v>
      </c>
      <c r="CJ142">
        <v>1</v>
      </c>
      <c r="CK142">
        <v>21</v>
      </c>
    </row>
    <row r="143" spans="1:89" x14ac:dyDescent="0.3">
      <c r="A143" t="s">
        <v>72</v>
      </c>
      <c r="B143" t="s">
        <v>73</v>
      </c>
      <c r="C143" t="s">
        <v>74</v>
      </c>
      <c r="E143" t="str">
        <f>"009942581172"</f>
        <v>009942581172</v>
      </c>
      <c r="F143" s="3">
        <v>44818</v>
      </c>
      <c r="G143">
        <v>202306</v>
      </c>
      <c r="H143" t="s">
        <v>90</v>
      </c>
      <c r="I143" t="s">
        <v>91</v>
      </c>
      <c r="J143" t="s">
        <v>147</v>
      </c>
      <c r="L143" t="s">
        <v>178</v>
      </c>
      <c r="M143" t="s">
        <v>179</v>
      </c>
      <c r="N143" t="s">
        <v>148</v>
      </c>
      <c r="O143" t="s">
        <v>127</v>
      </c>
      <c r="P143" t="str">
        <f>"INV186210"</f>
        <v>INV186210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52.2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0.2</v>
      </c>
      <c r="BJ143">
        <v>0.9</v>
      </c>
      <c r="BK143">
        <v>1</v>
      </c>
      <c r="BL143">
        <v>141.65</v>
      </c>
      <c r="BM143">
        <v>21.25</v>
      </c>
      <c r="BN143">
        <v>162.9</v>
      </c>
      <c r="BO143">
        <v>162.9</v>
      </c>
      <c r="BQ143" t="s">
        <v>610</v>
      </c>
      <c r="BR143" t="s">
        <v>150</v>
      </c>
      <c r="BS143" s="3">
        <v>44820</v>
      </c>
      <c r="BT143" s="4">
        <v>0.4604166666666667</v>
      </c>
      <c r="BU143" t="s">
        <v>611</v>
      </c>
      <c r="BV143" t="s">
        <v>84</v>
      </c>
      <c r="BY143">
        <v>4261.2</v>
      </c>
      <c r="BZ143" t="s">
        <v>111</v>
      </c>
      <c r="CA143" t="s">
        <v>612</v>
      </c>
      <c r="CC143" t="s">
        <v>179</v>
      </c>
      <c r="CD143">
        <v>4001</v>
      </c>
      <c r="CE143" t="s">
        <v>86</v>
      </c>
      <c r="CI143">
        <v>3</v>
      </c>
      <c r="CJ143">
        <v>2</v>
      </c>
      <c r="CK143">
        <v>41</v>
      </c>
    </row>
    <row r="144" spans="1:89" x14ac:dyDescent="0.3">
      <c r="A144" t="s">
        <v>72</v>
      </c>
      <c r="B144" t="s">
        <v>73</v>
      </c>
      <c r="C144" t="s">
        <v>74</v>
      </c>
      <c r="E144" t="str">
        <f>"009942581173"</f>
        <v>009942581173</v>
      </c>
      <c r="F144" s="3">
        <v>44818</v>
      </c>
      <c r="G144">
        <v>202306</v>
      </c>
      <c r="H144" t="s">
        <v>90</v>
      </c>
      <c r="I144" t="s">
        <v>91</v>
      </c>
      <c r="J144" t="s">
        <v>147</v>
      </c>
      <c r="L144" t="s">
        <v>90</v>
      </c>
      <c r="M144" t="s">
        <v>91</v>
      </c>
      <c r="N144" t="s">
        <v>148</v>
      </c>
      <c r="O144" t="s">
        <v>127</v>
      </c>
      <c r="P144" t="str">
        <f>"INV186206"</f>
        <v>INV186206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40.28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7.2</v>
      </c>
      <c r="BK144">
        <v>8</v>
      </c>
      <c r="BL144">
        <v>110.5</v>
      </c>
      <c r="BM144">
        <v>16.579999999999998</v>
      </c>
      <c r="BN144">
        <v>127.08</v>
      </c>
      <c r="BO144">
        <v>127.08</v>
      </c>
      <c r="BQ144" t="s">
        <v>613</v>
      </c>
      <c r="BR144" t="s">
        <v>150</v>
      </c>
      <c r="BS144" s="3">
        <v>44819</v>
      </c>
      <c r="BT144" s="4">
        <v>0.47430555555555554</v>
      </c>
      <c r="BU144" t="s">
        <v>614</v>
      </c>
      <c r="BV144" t="s">
        <v>84</v>
      </c>
      <c r="BY144">
        <v>36000</v>
      </c>
      <c r="BZ144" t="s">
        <v>111</v>
      </c>
      <c r="CA144" t="s">
        <v>168</v>
      </c>
      <c r="CC144" t="s">
        <v>91</v>
      </c>
      <c r="CD144">
        <v>7441</v>
      </c>
      <c r="CE144" t="s">
        <v>86</v>
      </c>
      <c r="CI144">
        <v>3</v>
      </c>
      <c r="CJ144">
        <v>1</v>
      </c>
      <c r="CK144">
        <v>42</v>
      </c>
    </row>
    <row r="145" spans="1:89" x14ac:dyDescent="0.3">
      <c r="A145" t="s">
        <v>72</v>
      </c>
      <c r="B145" t="s">
        <v>73</v>
      </c>
      <c r="C145" t="s">
        <v>74</v>
      </c>
      <c r="E145" t="str">
        <f>"009942581170"</f>
        <v>009942581170</v>
      </c>
      <c r="F145" s="3">
        <v>44818</v>
      </c>
      <c r="G145">
        <v>202306</v>
      </c>
      <c r="H145" t="s">
        <v>90</v>
      </c>
      <c r="I145" t="s">
        <v>91</v>
      </c>
      <c r="J145" t="s">
        <v>147</v>
      </c>
      <c r="L145" t="s">
        <v>615</v>
      </c>
      <c r="M145" t="s">
        <v>616</v>
      </c>
      <c r="N145" t="s">
        <v>617</v>
      </c>
      <c r="O145" t="s">
        <v>127</v>
      </c>
      <c r="P145" t="str">
        <f>"INV186220"</f>
        <v>INV186220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62.16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5</v>
      </c>
      <c r="BJ145">
        <v>17.600000000000001</v>
      </c>
      <c r="BK145">
        <v>18</v>
      </c>
      <c r="BL145">
        <v>167.66</v>
      </c>
      <c r="BM145">
        <v>25.15</v>
      </c>
      <c r="BN145">
        <v>192.81</v>
      </c>
      <c r="BO145">
        <v>192.81</v>
      </c>
      <c r="BQ145" t="s">
        <v>618</v>
      </c>
      <c r="BR145" t="s">
        <v>150</v>
      </c>
      <c r="BS145" s="3">
        <v>44819</v>
      </c>
      <c r="BT145" s="4">
        <v>0.68472222222222223</v>
      </c>
      <c r="BU145" t="s">
        <v>619</v>
      </c>
      <c r="BV145" t="s">
        <v>84</v>
      </c>
      <c r="BY145">
        <v>88200</v>
      </c>
      <c r="BZ145" t="s">
        <v>111</v>
      </c>
      <c r="CA145" t="s">
        <v>620</v>
      </c>
      <c r="CC145" t="s">
        <v>616</v>
      </c>
      <c r="CD145">
        <v>6705</v>
      </c>
      <c r="CE145" t="s">
        <v>86</v>
      </c>
      <c r="CI145">
        <v>4</v>
      </c>
      <c r="CJ145">
        <v>1</v>
      </c>
      <c r="CK145">
        <v>44</v>
      </c>
    </row>
    <row r="146" spans="1:89" x14ac:dyDescent="0.3">
      <c r="A146" t="s">
        <v>72</v>
      </c>
      <c r="B146" t="s">
        <v>73</v>
      </c>
      <c r="C146" t="s">
        <v>74</v>
      </c>
      <c r="E146" t="str">
        <f>"009942581171"</f>
        <v>009942581171</v>
      </c>
      <c r="F146" s="3">
        <v>44818</v>
      </c>
      <c r="G146">
        <v>202306</v>
      </c>
      <c r="H146" t="s">
        <v>90</v>
      </c>
      <c r="I146" t="s">
        <v>91</v>
      </c>
      <c r="J146" t="s">
        <v>147</v>
      </c>
      <c r="L146" t="s">
        <v>90</v>
      </c>
      <c r="M146" t="s">
        <v>91</v>
      </c>
      <c r="N146" t="s">
        <v>148</v>
      </c>
      <c r="O146" t="s">
        <v>107</v>
      </c>
      <c r="P146" t="str">
        <f>"INV186211"</f>
        <v>INV186211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21.09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3.1</v>
      </c>
      <c r="BK146">
        <v>4</v>
      </c>
      <c r="BL146">
        <v>55.11</v>
      </c>
      <c r="BM146">
        <v>8.27</v>
      </c>
      <c r="BN146">
        <v>63.38</v>
      </c>
      <c r="BO146">
        <v>63.38</v>
      </c>
      <c r="BQ146" t="s">
        <v>621</v>
      </c>
      <c r="BR146" t="s">
        <v>150</v>
      </c>
      <c r="BS146" s="3">
        <v>44819</v>
      </c>
      <c r="BT146" s="4">
        <v>0.57847222222222217</v>
      </c>
      <c r="BU146" t="s">
        <v>622</v>
      </c>
      <c r="BV146" t="s">
        <v>97</v>
      </c>
      <c r="BY146">
        <v>15609</v>
      </c>
      <c r="BZ146" t="s">
        <v>111</v>
      </c>
      <c r="CA146" t="s">
        <v>623</v>
      </c>
      <c r="CC146" t="s">
        <v>91</v>
      </c>
      <c r="CD146">
        <v>8000</v>
      </c>
      <c r="CE146" t="s">
        <v>86</v>
      </c>
      <c r="CI146">
        <v>1</v>
      </c>
      <c r="CJ146">
        <v>1</v>
      </c>
      <c r="CK146">
        <v>32</v>
      </c>
    </row>
    <row r="147" spans="1:89" x14ac:dyDescent="0.3">
      <c r="A147" t="s">
        <v>72</v>
      </c>
      <c r="B147" t="s">
        <v>73</v>
      </c>
      <c r="C147" t="s">
        <v>74</v>
      </c>
      <c r="E147" t="str">
        <f>"009942278719"</f>
        <v>009942278719</v>
      </c>
      <c r="F147" s="3">
        <v>44818</v>
      </c>
      <c r="G147">
        <v>202306</v>
      </c>
      <c r="H147" t="s">
        <v>87</v>
      </c>
      <c r="I147" t="s">
        <v>88</v>
      </c>
      <c r="J147" t="s">
        <v>414</v>
      </c>
      <c r="L147" t="s">
        <v>75</v>
      </c>
      <c r="M147" t="s">
        <v>76</v>
      </c>
      <c r="N147" t="s">
        <v>624</v>
      </c>
      <c r="O147" t="s">
        <v>81</v>
      </c>
      <c r="P147" t="str">
        <f>"J26347"</f>
        <v>J26347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21.09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0.7</v>
      </c>
      <c r="BJ147">
        <v>2.2999999999999998</v>
      </c>
      <c r="BK147">
        <v>2.5</v>
      </c>
      <c r="BL147">
        <v>55.1</v>
      </c>
      <c r="BM147">
        <v>8.27</v>
      </c>
      <c r="BN147">
        <v>63.37</v>
      </c>
      <c r="BO147">
        <v>63.37</v>
      </c>
      <c r="BQ147" t="s">
        <v>82</v>
      </c>
      <c r="BR147" t="s">
        <v>82</v>
      </c>
      <c r="BS147" s="3">
        <v>44819</v>
      </c>
      <c r="BT147" s="4">
        <v>0.33194444444444443</v>
      </c>
      <c r="BU147" t="s">
        <v>625</v>
      </c>
      <c r="BV147" t="s">
        <v>84</v>
      </c>
      <c r="BY147">
        <v>11319.04</v>
      </c>
      <c r="BZ147" t="s">
        <v>116</v>
      </c>
      <c r="CA147" t="s">
        <v>626</v>
      </c>
      <c r="CC147" t="s">
        <v>76</v>
      </c>
      <c r="CD147">
        <v>2091</v>
      </c>
      <c r="CE147" t="s">
        <v>86</v>
      </c>
      <c r="CI147">
        <v>1</v>
      </c>
      <c r="CJ147">
        <v>1</v>
      </c>
      <c r="CK147">
        <v>22</v>
      </c>
    </row>
    <row r="148" spans="1:89" x14ac:dyDescent="0.3">
      <c r="A148" t="s">
        <v>72</v>
      </c>
      <c r="B148" t="s">
        <v>73</v>
      </c>
      <c r="C148" t="s">
        <v>74</v>
      </c>
      <c r="E148" t="str">
        <f>"009942278715"</f>
        <v>009942278715</v>
      </c>
      <c r="F148" s="3">
        <v>44818</v>
      </c>
      <c r="G148">
        <v>202306</v>
      </c>
      <c r="H148" t="s">
        <v>87</v>
      </c>
      <c r="I148" t="s">
        <v>88</v>
      </c>
      <c r="J148" t="s">
        <v>414</v>
      </c>
      <c r="L148" t="s">
        <v>189</v>
      </c>
      <c r="M148" t="s">
        <v>190</v>
      </c>
      <c r="N148" t="s">
        <v>627</v>
      </c>
      <c r="O148" t="s">
        <v>81</v>
      </c>
      <c r="P148" t="str">
        <f>"J27608"</f>
        <v>J27608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52.3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0.2</v>
      </c>
      <c r="BJ148">
        <v>1.5</v>
      </c>
      <c r="BK148">
        <v>1.5</v>
      </c>
      <c r="BL148">
        <v>136.66</v>
      </c>
      <c r="BM148">
        <v>20.5</v>
      </c>
      <c r="BN148">
        <v>157.16</v>
      </c>
      <c r="BO148">
        <v>157.16</v>
      </c>
      <c r="BQ148" t="s">
        <v>628</v>
      </c>
      <c r="BR148" t="s">
        <v>82</v>
      </c>
      <c r="BS148" s="3">
        <v>44819</v>
      </c>
      <c r="BT148" s="4">
        <v>0.41319444444444442</v>
      </c>
      <c r="BU148" t="s">
        <v>629</v>
      </c>
      <c r="BV148" t="s">
        <v>84</v>
      </c>
      <c r="BY148">
        <v>7462.4</v>
      </c>
      <c r="BZ148" t="s">
        <v>116</v>
      </c>
      <c r="CA148" t="s">
        <v>630</v>
      </c>
      <c r="CC148" t="s">
        <v>190</v>
      </c>
      <c r="CD148">
        <v>250</v>
      </c>
      <c r="CE148" t="s">
        <v>86</v>
      </c>
      <c r="CI148">
        <v>1</v>
      </c>
      <c r="CJ148">
        <v>1</v>
      </c>
      <c r="CK148">
        <v>23</v>
      </c>
    </row>
    <row r="149" spans="1:89" x14ac:dyDescent="0.3">
      <c r="A149" t="s">
        <v>72</v>
      </c>
      <c r="B149" t="s">
        <v>73</v>
      </c>
      <c r="C149" t="s">
        <v>74</v>
      </c>
      <c r="E149" t="str">
        <f>"009942278718"</f>
        <v>009942278718</v>
      </c>
      <c r="F149" s="3">
        <v>44818</v>
      </c>
      <c r="G149">
        <v>202306</v>
      </c>
      <c r="H149" t="s">
        <v>87</v>
      </c>
      <c r="I149" t="s">
        <v>88</v>
      </c>
      <c r="J149" t="s">
        <v>414</v>
      </c>
      <c r="L149" t="s">
        <v>288</v>
      </c>
      <c r="M149" t="s">
        <v>289</v>
      </c>
      <c r="N149" t="s">
        <v>631</v>
      </c>
      <c r="O149" t="s">
        <v>81</v>
      </c>
      <c r="P149" t="str">
        <f>"J27587"</f>
        <v>J27587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21.09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4.7</v>
      </c>
      <c r="BJ149">
        <v>2.2999999999999998</v>
      </c>
      <c r="BK149">
        <v>5</v>
      </c>
      <c r="BL149">
        <v>55.1</v>
      </c>
      <c r="BM149">
        <v>8.27</v>
      </c>
      <c r="BN149">
        <v>63.37</v>
      </c>
      <c r="BO149">
        <v>63.37</v>
      </c>
      <c r="BQ149" t="s">
        <v>632</v>
      </c>
      <c r="BR149" t="s">
        <v>82</v>
      </c>
      <c r="BS149" s="3">
        <v>44819</v>
      </c>
      <c r="BT149" s="4">
        <v>0.44722222222222219</v>
      </c>
      <c r="BU149" t="s">
        <v>633</v>
      </c>
      <c r="BV149" t="s">
        <v>84</v>
      </c>
      <c r="BY149">
        <v>11527.6</v>
      </c>
      <c r="BZ149" t="s">
        <v>116</v>
      </c>
      <c r="CA149" t="s">
        <v>634</v>
      </c>
      <c r="CC149" t="s">
        <v>289</v>
      </c>
      <c r="CD149">
        <v>1559</v>
      </c>
      <c r="CE149" t="s">
        <v>86</v>
      </c>
      <c r="CI149">
        <v>1</v>
      </c>
      <c r="CJ149">
        <v>1</v>
      </c>
      <c r="CK149">
        <v>22</v>
      </c>
    </row>
    <row r="150" spans="1:89" x14ac:dyDescent="0.3">
      <c r="A150" t="s">
        <v>72</v>
      </c>
      <c r="B150" t="s">
        <v>73</v>
      </c>
      <c r="C150" t="s">
        <v>74</v>
      </c>
      <c r="E150" t="str">
        <f>"009942278717"</f>
        <v>009942278717</v>
      </c>
      <c r="F150" s="3">
        <v>44818</v>
      </c>
      <c r="G150">
        <v>202306</v>
      </c>
      <c r="H150" t="s">
        <v>87</v>
      </c>
      <c r="I150" t="s">
        <v>88</v>
      </c>
      <c r="J150" t="s">
        <v>414</v>
      </c>
      <c r="L150" t="s">
        <v>118</v>
      </c>
      <c r="M150" t="s">
        <v>119</v>
      </c>
      <c r="N150" t="s">
        <v>635</v>
      </c>
      <c r="O150" t="s">
        <v>81</v>
      </c>
      <c r="P150" t="str">
        <f>"J27234"</f>
        <v>J27234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26.99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0.6</v>
      </c>
      <c r="BJ150">
        <v>1.4</v>
      </c>
      <c r="BK150">
        <v>1.5</v>
      </c>
      <c r="BL150">
        <v>70.53</v>
      </c>
      <c r="BM150">
        <v>10.58</v>
      </c>
      <c r="BN150">
        <v>81.11</v>
      </c>
      <c r="BO150">
        <v>81.11</v>
      </c>
      <c r="BQ150" t="s">
        <v>82</v>
      </c>
      <c r="BR150" t="s">
        <v>82</v>
      </c>
      <c r="BS150" s="3">
        <v>44820</v>
      </c>
      <c r="BT150" s="4">
        <v>0.39861111111111108</v>
      </c>
      <c r="BU150" t="s">
        <v>636</v>
      </c>
      <c r="BV150" t="s">
        <v>97</v>
      </c>
      <c r="BY150">
        <v>7234.92</v>
      </c>
      <c r="BZ150" t="s">
        <v>116</v>
      </c>
      <c r="CA150" t="s">
        <v>637</v>
      </c>
      <c r="CC150" t="s">
        <v>119</v>
      </c>
      <c r="CD150">
        <v>200</v>
      </c>
      <c r="CE150" t="s">
        <v>86</v>
      </c>
      <c r="CI150">
        <v>1</v>
      </c>
      <c r="CJ150">
        <v>2</v>
      </c>
      <c r="CK150">
        <v>21</v>
      </c>
    </row>
    <row r="151" spans="1:89" x14ac:dyDescent="0.3">
      <c r="A151" t="s">
        <v>72</v>
      </c>
      <c r="B151" t="s">
        <v>73</v>
      </c>
      <c r="C151" t="s">
        <v>74</v>
      </c>
      <c r="E151" t="str">
        <f>"009942278714"</f>
        <v>009942278714</v>
      </c>
      <c r="F151" s="3">
        <v>44818</v>
      </c>
      <c r="G151">
        <v>202306</v>
      </c>
      <c r="H151" t="s">
        <v>87</v>
      </c>
      <c r="I151" t="s">
        <v>88</v>
      </c>
      <c r="J151" t="s">
        <v>414</v>
      </c>
      <c r="L151" t="s">
        <v>118</v>
      </c>
      <c r="M151" t="s">
        <v>119</v>
      </c>
      <c r="N151" t="s">
        <v>638</v>
      </c>
      <c r="O151" t="s">
        <v>81</v>
      </c>
      <c r="P151" t="str">
        <f>"J27640"</f>
        <v>J27640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33.74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2.2000000000000002</v>
      </c>
      <c r="BJ151">
        <v>1.9</v>
      </c>
      <c r="BK151">
        <v>2.5</v>
      </c>
      <c r="BL151">
        <v>88.16</v>
      </c>
      <c r="BM151">
        <v>13.22</v>
      </c>
      <c r="BN151">
        <v>101.38</v>
      </c>
      <c r="BO151">
        <v>101.38</v>
      </c>
      <c r="BQ151" t="s">
        <v>639</v>
      </c>
      <c r="BR151" t="s">
        <v>82</v>
      </c>
      <c r="BS151" s="3">
        <v>44819</v>
      </c>
      <c r="BT151" s="4">
        <v>0.40069444444444446</v>
      </c>
      <c r="BU151" t="s">
        <v>640</v>
      </c>
      <c r="BV151" t="s">
        <v>84</v>
      </c>
      <c r="BY151">
        <v>9652.16</v>
      </c>
      <c r="BZ151" t="s">
        <v>116</v>
      </c>
      <c r="CA151" t="s">
        <v>156</v>
      </c>
      <c r="CC151" t="s">
        <v>119</v>
      </c>
      <c r="CD151">
        <v>159</v>
      </c>
      <c r="CE151" t="s">
        <v>86</v>
      </c>
      <c r="CI151">
        <v>1</v>
      </c>
      <c r="CJ151">
        <v>1</v>
      </c>
      <c r="CK151">
        <v>21</v>
      </c>
    </row>
    <row r="152" spans="1:89" x14ac:dyDescent="0.3">
      <c r="A152" t="s">
        <v>72</v>
      </c>
      <c r="B152" t="s">
        <v>73</v>
      </c>
      <c r="C152" t="s">
        <v>74</v>
      </c>
      <c r="E152" t="str">
        <f>"009942278716"</f>
        <v>009942278716</v>
      </c>
      <c r="F152" s="3">
        <v>44818</v>
      </c>
      <c r="G152">
        <v>202306</v>
      </c>
      <c r="H152" t="s">
        <v>87</v>
      </c>
      <c r="I152" t="s">
        <v>88</v>
      </c>
      <c r="J152" t="s">
        <v>414</v>
      </c>
      <c r="L152" t="s">
        <v>75</v>
      </c>
      <c r="M152" t="s">
        <v>76</v>
      </c>
      <c r="N152" t="s">
        <v>641</v>
      </c>
      <c r="O152" t="s">
        <v>81</v>
      </c>
      <c r="P152" t="str">
        <f>"J27478"</f>
        <v>J27478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21.09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3.3</v>
      </c>
      <c r="BJ152">
        <v>5.6</v>
      </c>
      <c r="BK152">
        <v>6</v>
      </c>
      <c r="BL152">
        <v>55.1</v>
      </c>
      <c r="BM152">
        <v>8.27</v>
      </c>
      <c r="BN152">
        <v>63.37</v>
      </c>
      <c r="BO152">
        <v>63.37</v>
      </c>
      <c r="BQ152" t="s">
        <v>642</v>
      </c>
      <c r="BR152" t="s">
        <v>82</v>
      </c>
      <c r="BS152" s="3">
        <v>44819</v>
      </c>
      <c r="BT152" s="4">
        <v>0.375</v>
      </c>
      <c r="BU152" t="s">
        <v>642</v>
      </c>
      <c r="BV152" t="s">
        <v>84</v>
      </c>
      <c r="BY152">
        <v>27943.55</v>
      </c>
      <c r="BZ152" t="s">
        <v>116</v>
      </c>
      <c r="CA152" t="s">
        <v>450</v>
      </c>
      <c r="CC152" t="s">
        <v>76</v>
      </c>
      <c r="CD152">
        <v>2040</v>
      </c>
      <c r="CE152" t="s">
        <v>86</v>
      </c>
      <c r="CI152">
        <v>1</v>
      </c>
      <c r="CJ152">
        <v>1</v>
      </c>
      <c r="CK152">
        <v>22</v>
      </c>
    </row>
    <row r="153" spans="1:89" x14ac:dyDescent="0.3">
      <c r="A153" t="s">
        <v>72</v>
      </c>
      <c r="B153" t="s">
        <v>73</v>
      </c>
      <c r="C153" t="s">
        <v>74</v>
      </c>
      <c r="E153" t="str">
        <f>"009942581174"</f>
        <v>009942581174</v>
      </c>
      <c r="F153" s="3">
        <v>44819</v>
      </c>
      <c r="G153">
        <v>202306</v>
      </c>
      <c r="H153" t="s">
        <v>90</v>
      </c>
      <c r="I153" t="s">
        <v>91</v>
      </c>
      <c r="J153" t="s">
        <v>147</v>
      </c>
      <c r="L153" t="s">
        <v>207</v>
      </c>
      <c r="M153" t="s">
        <v>208</v>
      </c>
      <c r="N153" t="s">
        <v>148</v>
      </c>
      <c r="O153" t="s">
        <v>107</v>
      </c>
      <c r="P153" t="str">
        <f>"INV186229"</f>
        <v>INV186229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50.62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0.4</v>
      </c>
      <c r="BJ153">
        <v>2.2000000000000002</v>
      </c>
      <c r="BK153">
        <v>3</v>
      </c>
      <c r="BL153">
        <v>132.26</v>
      </c>
      <c r="BM153">
        <v>19.84</v>
      </c>
      <c r="BN153">
        <v>152.1</v>
      </c>
      <c r="BO153">
        <v>152.1</v>
      </c>
      <c r="BQ153" t="s">
        <v>643</v>
      </c>
      <c r="BR153" t="s">
        <v>150</v>
      </c>
      <c r="BS153" s="3">
        <v>44820</v>
      </c>
      <c r="BT153" s="4">
        <v>0.36944444444444446</v>
      </c>
      <c r="BU153" t="s">
        <v>644</v>
      </c>
      <c r="BV153" t="s">
        <v>84</v>
      </c>
      <c r="BY153">
        <v>10966.23</v>
      </c>
      <c r="BZ153" t="s">
        <v>111</v>
      </c>
      <c r="CA153" t="s">
        <v>645</v>
      </c>
      <c r="CC153" t="s">
        <v>208</v>
      </c>
      <c r="CD153">
        <v>2194</v>
      </c>
      <c r="CE153" t="s">
        <v>86</v>
      </c>
      <c r="CI153">
        <v>1</v>
      </c>
      <c r="CJ153">
        <v>1</v>
      </c>
      <c r="CK153">
        <v>31</v>
      </c>
    </row>
    <row r="154" spans="1:89" x14ac:dyDescent="0.3">
      <c r="A154" t="s">
        <v>72</v>
      </c>
      <c r="B154" t="s">
        <v>73</v>
      </c>
      <c r="C154" t="s">
        <v>74</v>
      </c>
      <c r="E154" t="str">
        <f>"009942581175"</f>
        <v>009942581175</v>
      </c>
      <c r="F154" s="3">
        <v>44819</v>
      </c>
      <c r="G154">
        <v>202306</v>
      </c>
      <c r="H154" t="s">
        <v>90</v>
      </c>
      <c r="I154" t="s">
        <v>91</v>
      </c>
      <c r="J154" t="s">
        <v>147</v>
      </c>
      <c r="L154" t="s">
        <v>99</v>
      </c>
      <c r="M154" t="s">
        <v>100</v>
      </c>
      <c r="N154" t="s">
        <v>148</v>
      </c>
      <c r="O154" t="s">
        <v>127</v>
      </c>
      <c r="P154" t="str">
        <f>"INV186250"</f>
        <v>INV186250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52.2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0.2</v>
      </c>
      <c r="BJ154">
        <v>1.1000000000000001</v>
      </c>
      <c r="BK154">
        <v>2</v>
      </c>
      <c r="BL154">
        <v>141.65</v>
      </c>
      <c r="BM154">
        <v>21.25</v>
      </c>
      <c r="BN154">
        <v>162.9</v>
      </c>
      <c r="BO154">
        <v>162.9</v>
      </c>
      <c r="BQ154" t="s">
        <v>646</v>
      </c>
      <c r="BR154" t="s">
        <v>150</v>
      </c>
      <c r="BS154" s="3">
        <v>44823</v>
      </c>
      <c r="BT154" s="4">
        <v>0.41875000000000001</v>
      </c>
      <c r="BU154" t="s">
        <v>647</v>
      </c>
      <c r="BV154" t="s">
        <v>84</v>
      </c>
      <c r="BY154">
        <v>5417.28</v>
      </c>
      <c r="BZ154" t="s">
        <v>111</v>
      </c>
      <c r="CA154" t="s">
        <v>648</v>
      </c>
      <c r="CC154" t="s">
        <v>100</v>
      </c>
      <c r="CD154">
        <v>3610</v>
      </c>
      <c r="CE154" t="s">
        <v>86</v>
      </c>
      <c r="CI154">
        <v>3</v>
      </c>
      <c r="CJ154">
        <v>2</v>
      </c>
      <c r="CK154">
        <v>41</v>
      </c>
    </row>
    <row r="155" spans="1:89" x14ac:dyDescent="0.3">
      <c r="A155" t="s">
        <v>72</v>
      </c>
      <c r="B155" t="s">
        <v>73</v>
      </c>
      <c r="C155" t="s">
        <v>74</v>
      </c>
      <c r="E155" t="str">
        <f>"009942581176"</f>
        <v>009942581176</v>
      </c>
      <c r="F155" s="3">
        <v>44819</v>
      </c>
      <c r="G155">
        <v>202306</v>
      </c>
      <c r="H155" t="s">
        <v>90</v>
      </c>
      <c r="I155" t="s">
        <v>91</v>
      </c>
      <c r="J155" t="s">
        <v>147</v>
      </c>
      <c r="L155" t="s">
        <v>87</v>
      </c>
      <c r="M155" t="s">
        <v>88</v>
      </c>
      <c r="N155" t="s">
        <v>649</v>
      </c>
      <c r="O155" t="s">
        <v>127</v>
      </c>
      <c r="P155" t="str">
        <f>"INV186243"</f>
        <v>INV186243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52.2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0.2</v>
      </c>
      <c r="BJ155">
        <v>1</v>
      </c>
      <c r="BK155">
        <v>1</v>
      </c>
      <c r="BL155">
        <v>141.65</v>
      </c>
      <c r="BM155">
        <v>21.25</v>
      </c>
      <c r="BN155">
        <v>162.9</v>
      </c>
      <c r="BO155">
        <v>162.9</v>
      </c>
      <c r="BQ155" t="s">
        <v>650</v>
      </c>
      <c r="BR155" t="s">
        <v>150</v>
      </c>
      <c r="BS155" s="3">
        <v>44823</v>
      </c>
      <c r="BT155" s="4">
        <v>0.3347222222222222</v>
      </c>
      <c r="BU155" t="s">
        <v>651</v>
      </c>
      <c r="BV155" t="s">
        <v>84</v>
      </c>
      <c r="BY155">
        <v>4845</v>
      </c>
      <c r="BZ155" t="s">
        <v>111</v>
      </c>
      <c r="CA155" t="s">
        <v>142</v>
      </c>
      <c r="CC155" t="s">
        <v>88</v>
      </c>
      <c r="CD155">
        <v>1614</v>
      </c>
      <c r="CE155" t="s">
        <v>86</v>
      </c>
      <c r="CI155">
        <v>3</v>
      </c>
      <c r="CJ155">
        <v>2</v>
      </c>
      <c r="CK155">
        <v>41</v>
      </c>
    </row>
    <row r="156" spans="1:89" x14ac:dyDescent="0.3">
      <c r="A156" t="s">
        <v>72</v>
      </c>
      <c r="B156" t="s">
        <v>73</v>
      </c>
      <c r="C156" t="s">
        <v>74</v>
      </c>
      <c r="E156" t="str">
        <f>"009942581177"</f>
        <v>009942581177</v>
      </c>
      <c r="F156" s="3">
        <v>44819</v>
      </c>
      <c r="G156">
        <v>202306</v>
      </c>
      <c r="H156" t="s">
        <v>90</v>
      </c>
      <c r="I156" t="s">
        <v>91</v>
      </c>
      <c r="J156" t="s">
        <v>147</v>
      </c>
      <c r="L156" t="s">
        <v>178</v>
      </c>
      <c r="M156" t="s">
        <v>179</v>
      </c>
      <c r="N156" t="s">
        <v>148</v>
      </c>
      <c r="O156" t="s">
        <v>127</v>
      </c>
      <c r="P156" t="str">
        <f>"INV186244"</f>
        <v>INV186244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52.2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0.3</v>
      </c>
      <c r="BJ156">
        <v>0.4</v>
      </c>
      <c r="BK156">
        <v>1</v>
      </c>
      <c r="BL156">
        <v>141.65</v>
      </c>
      <c r="BM156">
        <v>21.25</v>
      </c>
      <c r="BN156">
        <v>162.9</v>
      </c>
      <c r="BO156">
        <v>162.9</v>
      </c>
      <c r="BQ156" t="s">
        <v>652</v>
      </c>
      <c r="BR156" t="s">
        <v>150</v>
      </c>
      <c r="BS156" s="3">
        <v>44824</v>
      </c>
      <c r="BT156" s="4">
        <v>0.69513888888888886</v>
      </c>
      <c r="BU156" t="s">
        <v>653</v>
      </c>
      <c r="BV156" t="s">
        <v>84</v>
      </c>
      <c r="BY156">
        <v>2218.4</v>
      </c>
      <c r="BZ156" t="s">
        <v>111</v>
      </c>
      <c r="CA156" t="s">
        <v>612</v>
      </c>
      <c r="CC156" t="s">
        <v>179</v>
      </c>
      <c r="CD156">
        <v>3629</v>
      </c>
      <c r="CE156" t="s">
        <v>86</v>
      </c>
      <c r="CI156">
        <v>4</v>
      </c>
      <c r="CJ156">
        <v>3</v>
      </c>
      <c r="CK156">
        <v>41</v>
      </c>
    </row>
    <row r="157" spans="1:89" x14ac:dyDescent="0.3">
      <c r="A157" t="s">
        <v>72</v>
      </c>
      <c r="B157" t="s">
        <v>73</v>
      </c>
      <c r="C157" t="s">
        <v>74</v>
      </c>
      <c r="E157" t="str">
        <f>"009942581178"</f>
        <v>009942581178</v>
      </c>
      <c r="F157" s="3">
        <v>44819</v>
      </c>
      <c r="G157">
        <v>202306</v>
      </c>
      <c r="H157" t="s">
        <v>90</v>
      </c>
      <c r="I157" t="s">
        <v>91</v>
      </c>
      <c r="J157" t="s">
        <v>147</v>
      </c>
      <c r="L157" t="s">
        <v>573</v>
      </c>
      <c r="M157" t="s">
        <v>574</v>
      </c>
      <c r="N157" t="s">
        <v>148</v>
      </c>
      <c r="O157" t="s">
        <v>127</v>
      </c>
      <c r="P157" t="str">
        <f>"INV186245"</f>
        <v>INV186245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57.65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3</v>
      </c>
      <c r="BK157">
        <v>3</v>
      </c>
      <c r="BL157">
        <v>155.88999999999999</v>
      </c>
      <c r="BM157">
        <v>23.38</v>
      </c>
      <c r="BN157">
        <v>179.27</v>
      </c>
      <c r="BO157">
        <v>179.27</v>
      </c>
      <c r="BQ157" t="s">
        <v>654</v>
      </c>
      <c r="BR157" t="s">
        <v>150</v>
      </c>
      <c r="BS157" s="3">
        <v>44820</v>
      </c>
      <c r="BT157" s="4">
        <v>0.47222222222222227</v>
      </c>
      <c r="BU157" t="s">
        <v>655</v>
      </c>
      <c r="BV157" t="s">
        <v>84</v>
      </c>
      <c r="BY157">
        <v>15181.32</v>
      </c>
      <c r="BZ157" t="s">
        <v>111</v>
      </c>
      <c r="CA157" t="s">
        <v>656</v>
      </c>
      <c r="CC157" t="s">
        <v>574</v>
      </c>
      <c r="CD157">
        <v>7351</v>
      </c>
      <c r="CE157" t="s">
        <v>86</v>
      </c>
      <c r="CI157">
        <v>4</v>
      </c>
      <c r="CJ157">
        <v>1</v>
      </c>
      <c r="CK157">
        <v>44</v>
      </c>
    </row>
    <row r="158" spans="1:89" x14ac:dyDescent="0.3">
      <c r="A158" t="s">
        <v>72</v>
      </c>
      <c r="B158" t="s">
        <v>73</v>
      </c>
      <c r="C158" t="s">
        <v>74</v>
      </c>
      <c r="E158" t="str">
        <f>"009942278727"</f>
        <v>009942278727</v>
      </c>
      <c r="F158" s="3">
        <v>44819</v>
      </c>
      <c r="G158">
        <v>202306</v>
      </c>
      <c r="H158" t="s">
        <v>87</v>
      </c>
      <c r="I158" t="s">
        <v>88</v>
      </c>
      <c r="J158" t="s">
        <v>414</v>
      </c>
      <c r="L158" t="s">
        <v>657</v>
      </c>
      <c r="M158" t="s">
        <v>658</v>
      </c>
      <c r="N158" t="s">
        <v>659</v>
      </c>
      <c r="O158" t="s">
        <v>81</v>
      </c>
      <c r="P158" t="str">
        <f>"J27684"</f>
        <v>J27684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37.97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0.9</v>
      </c>
      <c r="BJ158">
        <v>0.9</v>
      </c>
      <c r="BK158">
        <v>1</v>
      </c>
      <c r="BL158">
        <v>99.21</v>
      </c>
      <c r="BM158">
        <v>14.88</v>
      </c>
      <c r="BN158">
        <v>114.09</v>
      </c>
      <c r="BO158">
        <v>114.09</v>
      </c>
      <c r="BQ158" t="s">
        <v>660</v>
      </c>
      <c r="BR158" t="s">
        <v>82</v>
      </c>
      <c r="BS158" s="3">
        <v>44820</v>
      </c>
      <c r="BT158" s="4">
        <v>0.33680555555555558</v>
      </c>
      <c r="BU158" t="s">
        <v>661</v>
      </c>
      <c r="BV158" t="s">
        <v>84</v>
      </c>
      <c r="BY158">
        <v>4478.76</v>
      </c>
      <c r="BZ158" t="s">
        <v>116</v>
      </c>
      <c r="CA158" t="s">
        <v>662</v>
      </c>
      <c r="CC158" t="s">
        <v>658</v>
      </c>
      <c r="CD158">
        <v>1438</v>
      </c>
      <c r="CE158" t="s">
        <v>86</v>
      </c>
      <c r="CI158">
        <v>1</v>
      </c>
      <c r="CJ158">
        <v>1</v>
      </c>
      <c r="CK158">
        <v>24</v>
      </c>
    </row>
    <row r="159" spans="1:89" x14ac:dyDescent="0.3">
      <c r="A159" t="s">
        <v>72</v>
      </c>
      <c r="B159" t="s">
        <v>73</v>
      </c>
      <c r="C159" t="s">
        <v>74</v>
      </c>
      <c r="E159" t="str">
        <f>"009942278720"</f>
        <v>009942278720</v>
      </c>
      <c r="F159" s="3">
        <v>44819</v>
      </c>
      <c r="G159">
        <v>202306</v>
      </c>
      <c r="H159" t="s">
        <v>87</v>
      </c>
      <c r="I159" t="s">
        <v>88</v>
      </c>
      <c r="J159" t="s">
        <v>414</v>
      </c>
      <c r="L159" t="s">
        <v>118</v>
      </c>
      <c r="M159" t="s">
        <v>119</v>
      </c>
      <c r="N159" t="s">
        <v>663</v>
      </c>
      <c r="O159" t="s">
        <v>81</v>
      </c>
      <c r="P159" t="str">
        <f>"J27265"</f>
        <v>J27265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40.49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2.6</v>
      </c>
      <c r="BJ159">
        <v>0.2</v>
      </c>
      <c r="BK159">
        <v>3</v>
      </c>
      <c r="BL159">
        <v>105.79</v>
      </c>
      <c r="BM159">
        <v>15.87</v>
      </c>
      <c r="BN159">
        <v>121.66</v>
      </c>
      <c r="BO159">
        <v>121.66</v>
      </c>
      <c r="BQ159" t="s">
        <v>664</v>
      </c>
      <c r="BR159" t="s">
        <v>82</v>
      </c>
      <c r="BS159" s="3">
        <v>44820</v>
      </c>
      <c r="BT159" s="4">
        <v>0.40902777777777777</v>
      </c>
      <c r="BU159" t="s">
        <v>665</v>
      </c>
      <c r="BV159" t="s">
        <v>84</v>
      </c>
      <c r="BY159">
        <v>885.04</v>
      </c>
      <c r="BZ159" t="s">
        <v>116</v>
      </c>
      <c r="CA159" t="s">
        <v>123</v>
      </c>
      <c r="CC159" t="s">
        <v>119</v>
      </c>
      <c r="CD159">
        <v>127</v>
      </c>
      <c r="CE159" t="s">
        <v>86</v>
      </c>
      <c r="CI159">
        <v>1</v>
      </c>
      <c r="CJ159">
        <v>1</v>
      </c>
      <c r="CK159">
        <v>21</v>
      </c>
    </row>
    <row r="160" spans="1:89" x14ac:dyDescent="0.3">
      <c r="A160" t="s">
        <v>72</v>
      </c>
      <c r="B160" t="s">
        <v>73</v>
      </c>
      <c r="C160" t="s">
        <v>74</v>
      </c>
      <c r="E160" t="str">
        <f>"009942278725"</f>
        <v>009942278725</v>
      </c>
      <c r="F160" s="3">
        <v>44819</v>
      </c>
      <c r="G160">
        <v>202306</v>
      </c>
      <c r="H160" t="s">
        <v>87</v>
      </c>
      <c r="I160" t="s">
        <v>88</v>
      </c>
      <c r="J160" t="s">
        <v>414</v>
      </c>
      <c r="L160" t="s">
        <v>90</v>
      </c>
      <c r="M160" t="s">
        <v>91</v>
      </c>
      <c r="N160" t="s">
        <v>666</v>
      </c>
      <c r="O160" t="s">
        <v>81</v>
      </c>
      <c r="P160" t="str">
        <f>"J2766617"</f>
        <v>J2766617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26.99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0.2</v>
      </c>
      <c r="BK160">
        <v>1</v>
      </c>
      <c r="BL160">
        <v>70.53</v>
      </c>
      <c r="BM160">
        <v>10.58</v>
      </c>
      <c r="BN160">
        <v>81.11</v>
      </c>
      <c r="BO160">
        <v>81.11</v>
      </c>
      <c r="BQ160" t="s">
        <v>82</v>
      </c>
      <c r="BR160" t="s">
        <v>82</v>
      </c>
      <c r="BS160" s="3">
        <v>44820</v>
      </c>
      <c r="BT160" s="4">
        <v>0.3888888888888889</v>
      </c>
      <c r="BU160" t="s">
        <v>667</v>
      </c>
      <c r="BV160" t="s">
        <v>84</v>
      </c>
      <c r="BY160">
        <v>1200</v>
      </c>
      <c r="BZ160" t="s">
        <v>116</v>
      </c>
      <c r="CA160" t="s">
        <v>284</v>
      </c>
      <c r="CC160" t="s">
        <v>91</v>
      </c>
      <c r="CD160">
        <v>7530</v>
      </c>
      <c r="CE160" t="s">
        <v>86</v>
      </c>
      <c r="CI160">
        <v>1</v>
      </c>
      <c r="CJ160">
        <v>1</v>
      </c>
      <c r="CK160">
        <v>21</v>
      </c>
    </row>
    <row r="161" spans="1:89" x14ac:dyDescent="0.3">
      <c r="A161" t="s">
        <v>72</v>
      </c>
      <c r="B161" t="s">
        <v>73</v>
      </c>
      <c r="C161" t="s">
        <v>74</v>
      </c>
      <c r="E161" t="str">
        <f>"009942278722"</f>
        <v>009942278722</v>
      </c>
      <c r="F161" s="3">
        <v>44819</v>
      </c>
      <c r="G161">
        <v>202306</v>
      </c>
      <c r="H161" t="s">
        <v>87</v>
      </c>
      <c r="I161" t="s">
        <v>88</v>
      </c>
      <c r="J161" t="s">
        <v>414</v>
      </c>
      <c r="L161" t="s">
        <v>189</v>
      </c>
      <c r="M161" t="s">
        <v>190</v>
      </c>
      <c r="N161" t="s">
        <v>668</v>
      </c>
      <c r="O161" t="s">
        <v>81</v>
      </c>
      <c r="P161" t="str">
        <f>"J27073"</f>
        <v>J27073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323.95999999999998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13.1</v>
      </c>
      <c r="BJ161">
        <v>4.4000000000000004</v>
      </c>
      <c r="BK161">
        <v>13.5</v>
      </c>
      <c r="BL161">
        <v>846.47</v>
      </c>
      <c r="BM161">
        <v>126.97</v>
      </c>
      <c r="BN161">
        <v>973.44</v>
      </c>
      <c r="BO161">
        <v>973.44</v>
      </c>
      <c r="BQ161" t="s">
        <v>669</v>
      </c>
      <c r="BR161" t="s">
        <v>82</v>
      </c>
      <c r="BS161" s="3">
        <v>44820</v>
      </c>
      <c r="BT161" s="4">
        <v>0.40416666666666662</v>
      </c>
      <c r="BU161" t="s">
        <v>670</v>
      </c>
      <c r="BV161" t="s">
        <v>84</v>
      </c>
      <c r="BY161">
        <v>21924.16</v>
      </c>
      <c r="BZ161" t="s">
        <v>116</v>
      </c>
      <c r="CA161" t="s">
        <v>630</v>
      </c>
      <c r="CC161" t="s">
        <v>190</v>
      </c>
      <c r="CD161">
        <v>250</v>
      </c>
      <c r="CE161" t="s">
        <v>86</v>
      </c>
      <c r="CI161">
        <v>1</v>
      </c>
      <c r="CJ161">
        <v>1</v>
      </c>
      <c r="CK161">
        <v>23</v>
      </c>
    </row>
    <row r="162" spans="1:89" x14ac:dyDescent="0.3">
      <c r="A162" t="s">
        <v>72</v>
      </c>
      <c r="B162" t="s">
        <v>73</v>
      </c>
      <c r="C162" t="s">
        <v>74</v>
      </c>
      <c r="E162" t="str">
        <f>"009942278729"</f>
        <v>009942278729</v>
      </c>
      <c r="F162" s="3">
        <v>44819</v>
      </c>
      <c r="G162">
        <v>202306</v>
      </c>
      <c r="H162" t="s">
        <v>87</v>
      </c>
      <c r="I162" t="s">
        <v>88</v>
      </c>
      <c r="J162" t="s">
        <v>414</v>
      </c>
      <c r="L162" t="s">
        <v>220</v>
      </c>
      <c r="M162" t="s">
        <v>221</v>
      </c>
      <c r="N162" t="s">
        <v>671</v>
      </c>
      <c r="O162" t="s">
        <v>81</v>
      </c>
      <c r="P162" t="str">
        <f>"J27693"</f>
        <v>J27693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21.09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5.6</v>
      </c>
      <c r="BJ162">
        <v>4</v>
      </c>
      <c r="BK162">
        <v>6</v>
      </c>
      <c r="BL162">
        <v>55.1</v>
      </c>
      <c r="BM162">
        <v>8.27</v>
      </c>
      <c r="BN162">
        <v>63.37</v>
      </c>
      <c r="BO162">
        <v>63.37</v>
      </c>
      <c r="BQ162" t="s">
        <v>672</v>
      </c>
      <c r="BR162" t="s">
        <v>82</v>
      </c>
      <c r="BS162" s="3">
        <v>44820</v>
      </c>
      <c r="BT162" s="4">
        <v>0.33055555555555555</v>
      </c>
      <c r="BU162" t="s">
        <v>673</v>
      </c>
      <c r="BV162" t="s">
        <v>84</v>
      </c>
      <c r="BY162">
        <v>19788.73</v>
      </c>
      <c r="BZ162" t="s">
        <v>116</v>
      </c>
      <c r="CA162" t="s">
        <v>225</v>
      </c>
      <c r="CC162" t="s">
        <v>221</v>
      </c>
      <c r="CD162">
        <v>1422</v>
      </c>
      <c r="CE162" t="s">
        <v>86</v>
      </c>
      <c r="CI162">
        <v>1</v>
      </c>
      <c r="CJ162">
        <v>1</v>
      </c>
      <c r="CK162">
        <v>22</v>
      </c>
    </row>
    <row r="163" spans="1:89" x14ac:dyDescent="0.3">
      <c r="A163" t="s">
        <v>72</v>
      </c>
      <c r="B163" t="s">
        <v>73</v>
      </c>
      <c r="C163" t="s">
        <v>74</v>
      </c>
      <c r="E163" t="str">
        <f>"009942278723"</f>
        <v>009942278723</v>
      </c>
      <c r="F163" s="3">
        <v>44819</v>
      </c>
      <c r="G163">
        <v>202306</v>
      </c>
      <c r="H163" t="s">
        <v>87</v>
      </c>
      <c r="I163" t="s">
        <v>88</v>
      </c>
      <c r="J163" t="s">
        <v>414</v>
      </c>
      <c r="L163" t="s">
        <v>207</v>
      </c>
      <c r="M163" t="s">
        <v>208</v>
      </c>
      <c r="N163" t="s">
        <v>674</v>
      </c>
      <c r="O163" t="s">
        <v>81</v>
      </c>
      <c r="P163" t="str">
        <f>"J27023"</f>
        <v>J27023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21.09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6.4</v>
      </c>
      <c r="BJ163">
        <v>7.5</v>
      </c>
      <c r="BK163">
        <v>7.5</v>
      </c>
      <c r="BL163">
        <v>55.1</v>
      </c>
      <c r="BM163">
        <v>8.27</v>
      </c>
      <c r="BN163">
        <v>63.37</v>
      </c>
      <c r="BO163">
        <v>63.37</v>
      </c>
      <c r="BQ163" t="s">
        <v>675</v>
      </c>
      <c r="BR163" t="s">
        <v>82</v>
      </c>
      <c r="BS163" s="3">
        <v>44820</v>
      </c>
      <c r="BT163" s="4">
        <v>0.3520833333333333</v>
      </c>
      <c r="BU163" t="s">
        <v>676</v>
      </c>
      <c r="BV163" t="s">
        <v>84</v>
      </c>
      <c r="BY163">
        <v>37467.360000000001</v>
      </c>
      <c r="BZ163" t="s">
        <v>116</v>
      </c>
      <c r="CA163" t="s">
        <v>219</v>
      </c>
      <c r="CC163" t="s">
        <v>208</v>
      </c>
      <c r="CD163">
        <v>2162</v>
      </c>
      <c r="CE163" t="s">
        <v>86</v>
      </c>
      <c r="CI163">
        <v>1</v>
      </c>
      <c r="CJ163">
        <v>1</v>
      </c>
      <c r="CK163">
        <v>22</v>
      </c>
    </row>
    <row r="164" spans="1:89" x14ac:dyDescent="0.3">
      <c r="A164" t="s">
        <v>72</v>
      </c>
      <c r="B164" t="s">
        <v>73</v>
      </c>
      <c r="C164" t="s">
        <v>74</v>
      </c>
      <c r="E164" t="str">
        <f>"009942278726"</f>
        <v>009942278726</v>
      </c>
      <c r="F164" s="3">
        <v>44819</v>
      </c>
      <c r="G164">
        <v>202306</v>
      </c>
      <c r="H164" t="s">
        <v>87</v>
      </c>
      <c r="I164" t="s">
        <v>88</v>
      </c>
      <c r="J164" t="s">
        <v>414</v>
      </c>
      <c r="L164" t="s">
        <v>118</v>
      </c>
      <c r="M164" t="s">
        <v>119</v>
      </c>
      <c r="N164" t="s">
        <v>677</v>
      </c>
      <c r="O164" t="s">
        <v>81</v>
      </c>
      <c r="P164" t="str">
        <f>"J27390"</f>
        <v>J27390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26.99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0.9</v>
      </c>
      <c r="BJ164">
        <v>1</v>
      </c>
      <c r="BK164">
        <v>1</v>
      </c>
      <c r="BL164">
        <v>70.53</v>
      </c>
      <c r="BM164">
        <v>10.58</v>
      </c>
      <c r="BN164">
        <v>81.11</v>
      </c>
      <c r="BO164">
        <v>81.11</v>
      </c>
      <c r="BQ164" t="s">
        <v>678</v>
      </c>
      <c r="BR164" t="s">
        <v>82</v>
      </c>
      <c r="BS164" s="3">
        <v>44820</v>
      </c>
      <c r="BT164" s="4">
        <v>0.4375</v>
      </c>
      <c r="BU164" t="s">
        <v>679</v>
      </c>
      <c r="BV164" t="s">
        <v>84</v>
      </c>
      <c r="BY164">
        <v>4815.3599999999997</v>
      </c>
      <c r="BZ164" t="s">
        <v>116</v>
      </c>
      <c r="CA164" t="s">
        <v>680</v>
      </c>
      <c r="CC164" t="s">
        <v>119</v>
      </c>
      <c r="CD164">
        <v>62</v>
      </c>
      <c r="CE164" t="s">
        <v>86</v>
      </c>
      <c r="CI164">
        <v>1</v>
      </c>
      <c r="CJ164">
        <v>1</v>
      </c>
      <c r="CK164">
        <v>21</v>
      </c>
    </row>
    <row r="165" spans="1:89" x14ac:dyDescent="0.3">
      <c r="A165" t="s">
        <v>72</v>
      </c>
      <c r="B165" t="s">
        <v>73</v>
      </c>
      <c r="C165" t="s">
        <v>74</v>
      </c>
      <c r="E165" t="str">
        <f>"009942278728"</f>
        <v>009942278728</v>
      </c>
      <c r="F165" s="3">
        <v>44819</v>
      </c>
      <c r="G165">
        <v>202306</v>
      </c>
      <c r="H165" t="s">
        <v>87</v>
      </c>
      <c r="I165" t="s">
        <v>88</v>
      </c>
      <c r="J165" t="s">
        <v>414</v>
      </c>
      <c r="L165" t="s">
        <v>681</v>
      </c>
      <c r="M165" t="s">
        <v>682</v>
      </c>
      <c r="N165" t="s">
        <v>683</v>
      </c>
      <c r="O165" t="s">
        <v>81</v>
      </c>
      <c r="P165" t="str">
        <f>"J27653"</f>
        <v>J27653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111.92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5.7</v>
      </c>
      <c r="BJ165">
        <v>1.5</v>
      </c>
      <c r="BK165">
        <v>6</v>
      </c>
      <c r="BL165">
        <v>292.44</v>
      </c>
      <c r="BM165">
        <v>43.87</v>
      </c>
      <c r="BN165">
        <v>336.31</v>
      </c>
      <c r="BO165">
        <v>336.31</v>
      </c>
      <c r="BQ165" t="s">
        <v>684</v>
      </c>
      <c r="BR165" t="s">
        <v>82</v>
      </c>
      <c r="BS165" s="3">
        <v>44824</v>
      </c>
      <c r="BT165" s="4">
        <v>0.54166666666666663</v>
      </c>
      <c r="BU165" t="s">
        <v>685</v>
      </c>
      <c r="BV165" t="s">
        <v>84</v>
      </c>
      <c r="BY165">
        <v>7417.6</v>
      </c>
      <c r="BZ165" t="s">
        <v>116</v>
      </c>
      <c r="CA165" t="s">
        <v>686</v>
      </c>
      <c r="CC165" t="s">
        <v>682</v>
      </c>
      <c r="CD165">
        <v>2333</v>
      </c>
      <c r="CE165" t="s">
        <v>86</v>
      </c>
      <c r="CI165">
        <v>1</v>
      </c>
      <c r="CJ165">
        <v>3</v>
      </c>
      <c r="CK165">
        <v>24</v>
      </c>
    </row>
    <row r="166" spans="1:89" x14ac:dyDescent="0.3">
      <c r="A166" t="s">
        <v>72</v>
      </c>
      <c r="B166" t="s">
        <v>73</v>
      </c>
      <c r="C166" t="s">
        <v>74</v>
      </c>
      <c r="E166" t="str">
        <f>"009942278721"</f>
        <v>009942278721</v>
      </c>
      <c r="F166" s="3">
        <v>44819</v>
      </c>
      <c r="G166">
        <v>202306</v>
      </c>
      <c r="H166" t="s">
        <v>87</v>
      </c>
      <c r="I166" t="s">
        <v>88</v>
      </c>
      <c r="J166" t="s">
        <v>414</v>
      </c>
      <c r="L166" t="s">
        <v>226</v>
      </c>
      <c r="M166" t="s">
        <v>227</v>
      </c>
      <c r="N166" t="s">
        <v>687</v>
      </c>
      <c r="O166" t="s">
        <v>81</v>
      </c>
      <c r="P166" t="str">
        <f>"J26376"</f>
        <v>J26376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21.09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1.3</v>
      </c>
      <c r="BJ166">
        <v>0.9</v>
      </c>
      <c r="BK166">
        <v>1.5</v>
      </c>
      <c r="BL166">
        <v>55.1</v>
      </c>
      <c r="BM166">
        <v>8.27</v>
      </c>
      <c r="BN166">
        <v>63.37</v>
      </c>
      <c r="BO166">
        <v>63.37</v>
      </c>
      <c r="BQ166" t="s">
        <v>688</v>
      </c>
      <c r="BR166" t="s">
        <v>82</v>
      </c>
      <c r="BS166" s="3">
        <v>44820</v>
      </c>
      <c r="BT166" s="4">
        <v>0.39861111111111108</v>
      </c>
      <c r="BU166" t="s">
        <v>689</v>
      </c>
      <c r="BV166" t="s">
        <v>84</v>
      </c>
      <c r="BY166">
        <v>4704.8100000000004</v>
      </c>
      <c r="BZ166" t="s">
        <v>116</v>
      </c>
      <c r="CA166" t="s">
        <v>690</v>
      </c>
      <c r="CC166" t="s">
        <v>227</v>
      </c>
      <c r="CD166">
        <v>1459</v>
      </c>
      <c r="CE166" t="s">
        <v>86</v>
      </c>
      <c r="CI166">
        <v>1</v>
      </c>
      <c r="CJ166">
        <v>1</v>
      </c>
      <c r="CK166">
        <v>22</v>
      </c>
    </row>
    <row r="167" spans="1:89" x14ac:dyDescent="0.3">
      <c r="A167" t="s">
        <v>72</v>
      </c>
      <c r="B167" t="s">
        <v>73</v>
      </c>
      <c r="C167" t="s">
        <v>74</v>
      </c>
      <c r="E167" t="str">
        <f>"R009942581163"</f>
        <v>R009942581163</v>
      </c>
      <c r="F167" s="3">
        <v>44820</v>
      </c>
      <c r="G167">
        <v>202306</v>
      </c>
      <c r="H167" t="s">
        <v>389</v>
      </c>
      <c r="I167" t="s">
        <v>390</v>
      </c>
      <c r="J167" t="s">
        <v>583</v>
      </c>
      <c r="L167" t="s">
        <v>75</v>
      </c>
      <c r="M167" t="s">
        <v>76</v>
      </c>
      <c r="N167" t="s">
        <v>584</v>
      </c>
      <c r="O167" t="s">
        <v>127</v>
      </c>
      <c r="P167" t="str">
        <f>"INV186175"</f>
        <v>INV186175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40.28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0.3</v>
      </c>
      <c r="BJ167">
        <v>0.9</v>
      </c>
      <c r="BK167">
        <v>1</v>
      </c>
      <c r="BL167">
        <v>110.5</v>
      </c>
      <c r="BM167">
        <v>16.579999999999998</v>
      </c>
      <c r="BN167">
        <v>127.08</v>
      </c>
      <c r="BO167">
        <v>127.08</v>
      </c>
      <c r="BQ167">
        <v>714946002</v>
      </c>
      <c r="BR167" t="s">
        <v>584</v>
      </c>
      <c r="BS167" s="3">
        <v>44823</v>
      </c>
      <c r="BT167" s="4">
        <v>0.44236111111111115</v>
      </c>
      <c r="BU167" t="s">
        <v>584</v>
      </c>
      <c r="BV167" t="s">
        <v>84</v>
      </c>
      <c r="BY167">
        <v>4281.75</v>
      </c>
      <c r="BZ167" t="s">
        <v>111</v>
      </c>
      <c r="CA167" t="s">
        <v>691</v>
      </c>
      <c r="CC167" t="s">
        <v>76</v>
      </c>
      <c r="CD167">
        <v>2055</v>
      </c>
      <c r="CE167" t="s">
        <v>86</v>
      </c>
      <c r="CI167">
        <v>3</v>
      </c>
      <c r="CJ167">
        <v>1</v>
      </c>
      <c r="CK167">
        <v>42</v>
      </c>
    </row>
    <row r="168" spans="1:89" x14ac:dyDescent="0.3">
      <c r="A168" t="s">
        <v>72</v>
      </c>
      <c r="B168" t="s">
        <v>73</v>
      </c>
      <c r="C168" t="s">
        <v>74</v>
      </c>
      <c r="E168" t="str">
        <f>"080010594348"</f>
        <v>080010594348</v>
      </c>
      <c r="F168" s="3">
        <v>44820</v>
      </c>
      <c r="G168">
        <v>202306</v>
      </c>
      <c r="H168" t="s">
        <v>75</v>
      </c>
      <c r="I168" t="s">
        <v>76</v>
      </c>
      <c r="J168" t="s">
        <v>692</v>
      </c>
      <c r="L168" t="s">
        <v>693</v>
      </c>
      <c r="M168" t="s">
        <v>694</v>
      </c>
      <c r="N168" t="s">
        <v>695</v>
      </c>
      <c r="O168" t="s">
        <v>81</v>
      </c>
      <c r="P168" t="str">
        <f>"x"</f>
        <v>x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146.79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2.2999999999999998</v>
      </c>
      <c r="BJ168">
        <v>5.8</v>
      </c>
      <c r="BK168">
        <v>6</v>
      </c>
      <c r="BL168">
        <v>383.55</v>
      </c>
      <c r="BM168">
        <v>57.53</v>
      </c>
      <c r="BN168">
        <v>441.08</v>
      </c>
      <c r="BO168">
        <v>441.08</v>
      </c>
      <c r="BP168" t="s">
        <v>197</v>
      </c>
      <c r="BQ168" t="s">
        <v>695</v>
      </c>
      <c r="BR168" t="s">
        <v>696</v>
      </c>
      <c r="BS168" s="3">
        <v>44823</v>
      </c>
      <c r="BT168" s="4">
        <v>0.51874999999999993</v>
      </c>
      <c r="BU168" t="s">
        <v>697</v>
      </c>
      <c r="BV168" t="s">
        <v>84</v>
      </c>
      <c r="BY168">
        <v>28887.26</v>
      </c>
      <c r="CA168" t="s">
        <v>698</v>
      </c>
      <c r="CC168" t="s">
        <v>694</v>
      </c>
      <c r="CD168">
        <v>3100</v>
      </c>
      <c r="CE168" t="s">
        <v>699</v>
      </c>
      <c r="CI168">
        <v>1</v>
      </c>
      <c r="CJ168">
        <v>1</v>
      </c>
      <c r="CK168">
        <v>23</v>
      </c>
    </row>
    <row r="169" spans="1:89" x14ac:dyDescent="0.3">
      <c r="A169" t="s">
        <v>72</v>
      </c>
      <c r="B169" t="s">
        <v>73</v>
      </c>
      <c r="C169" t="s">
        <v>74</v>
      </c>
      <c r="E169" t="str">
        <f>"080010594504"</f>
        <v>080010594504</v>
      </c>
      <c r="F169" s="3">
        <v>44820</v>
      </c>
      <c r="G169">
        <v>202306</v>
      </c>
      <c r="H169" t="s">
        <v>90</v>
      </c>
      <c r="I169" t="s">
        <v>91</v>
      </c>
      <c r="J169" t="s">
        <v>567</v>
      </c>
      <c r="N169" t="s">
        <v>700</v>
      </c>
      <c r="O169" t="s">
        <v>81</v>
      </c>
      <c r="P169" t="str">
        <f>"C21433"</f>
        <v>C21433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21.09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0.1</v>
      </c>
      <c r="BJ169">
        <v>0.8</v>
      </c>
      <c r="BK169">
        <v>1</v>
      </c>
      <c r="BL169">
        <v>55.1</v>
      </c>
      <c r="BM169">
        <v>8.27</v>
      </c>
      <c r="BN169">
        <v>63.37</v>
      </c>
      <c r="BO169">
        <v>63.37</v>
      </c>
      <c r="BP169" t="s">
        <v>197</v>
      </c>
      <c r="BQ169" t="s">
        <v>701</v>
      </c>
      <c r="BR169" t="s">
        <v>702</v>
      </c>
      <c r="BS169" s="3">
        <v>44824</v>
      </c>
      <c r="BT169" s="4">
        <v>0.38819444444444445</v>
      </c>
      <c r="BU169" t="s">
        <v>703</v>
      </c>
      <c r="BV169" t="s">
        <v>84</v>
      </c>
      <c r="BY169">
        <v>3857.26</v>
      </c>
      <c r="CD169">
        <v>7800</v>
      </c>
      <c r="CE169" t="s">
        <v>704</v>
      </c>
      <c r="CI169">
        <v>1</v>
      </c>
      <c r="CJ169">
        <v>1</v>
      </c>
      <c r="CK169">
        <v>22</v>
      </c>
    </row>
    <row r="170" spans="1:89" x14ac:dyDescent="0.3">
      <c r="A170" t="s">
        <v>72</v>
      </c>
      <c r="B170" t="s">
        <v>73</v>
      </c>
      <c r="C170" t="s">
        <v>74</v>
      </c>
      <c r="E170" t="str">
        <f>"080010594526"</f>
        <v>080010594526</v>
      </c>
      <c r="F170" s="3">
        <v>44820</v>
      </c>
      <c r="G170">
        <v>202306</v>
      </c>
      <c r="H170" t="s">
        <v>101</v>
      </c>
      <c r="I170" t="s">
        <v>102</v>
      </c>
      <c r="J170" t="s">
        <v>567</v>
      </c>
      <c r="L170" t="s">
        <v>90</v>
      </c>
      <c r="M170" t="s">
        <v>91</v>
      </c>
      <c r="N170" t="s">
        <v>567</v>
      </c>
      <c r="O170" t="s">
        <v>81</v>
      </c>
      <c r="P170" t="str">
        <f>"X"</f>
        <v>X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26.99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</v>
      </c>
      <c r="BJ170">
        <v>0.2</v>
      </c>
      <c r="BK170">
        <v>1</v>
      </c>
      <c r="BL170">
        <v>70.53</v>
      </c>
      <c r="BM170">
        <v>10.58</v>
      </c>
      <c r="BN170">
        <v>81.11</v>
      </c>
      <c r="BO170">
        <v>81.11</v>
      </c>
      <c r="BP170" t="s">
        <v>197</v>
      </c>
      <c r="BQ170" t="s">
        <v>702</v>
      </c>
      <c r="BR170" t="s">
        <v>176</v>
      </c>
      <c r="BS170" s="3">
        <v>44823</v>
      </c>
      <c r="BT170" s="4">
        <v>0.4291666666666667</v>
      </c>
      <c r="BU170" t="s">
        <v>705</v>
      </c>
      <c r="BV170" t="s">
        <v>84</v>
      </c>
      <c r="BY170">
        <v>1200</v>
      </c>
      <c r="CA170" t="s">
        <v>706</v>
      </c>
      <c r="CC170" t="s">
        <v>91</v>
      </c>
      <c r="CD170">
        <v>7530</v>
      </c>
      <c r="CE170" t="s">
        <v>707</v>
      </c>
      <c r="CI170">
        <v>1</v>
      </c>
      <c r="CJ170">
        <v>1</v>
      </c>
      <c r="CK170">
        <v>21</v>
      </c>
    </row>
    <row r="171" spans="1:89" x14ac:dyDescent="0.3">
      <c r="A171" t="s">
        <v>72</v>
      </c>
      <c r="B171" t="s">
        <v>73</v>
      </c>
      <c r="C171" t="s">
        <v>74</v>
      </c>
      <c r="E171" t="str">
        <f>"080010594535"</f>
        <v>080010594535</v>
      </c>
      <c r="F171" s="3">
        <v>44820</v>
      </c>
      <c r="G171">
        <v>202306</v>
      </c>
      <c r="H171" t="s">
        <v>101</v>
      </c>
      <c r="I171" t="s">
        <v>102</v>
      </c>
      <c r="J171" t="s">
        <v>567</v>
      </c>
      <c r="L171" t="s">
        <v>87</v>
      </c>
      <c r="M171" t="s">
        <v>88</v>
      </c>
      <c r="N171" t="s">
        <v>89</v>
      </c>
      <c r="O171" t="s">
        <v>81</v>
      </c>
      <c r="P171" t="str">
        <f>"x"</f>
        <v>x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26.99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</v>
      </c>
      <c r="BJ171">
        <v>0.2</v>
      </c>
      <c r="BK171">
        <v>1</v>
      </c>
      <c r="BL171">
        <v>70.53</v>
      </c>
      <c r="BM171">
        <v>10.58</v>
      </c>
      <c r="BN171">
        <v>81.11</v>
      </c>
      <c r="BO171">
        <v>81.11</v>
      </c>
      <c r="BP171" t="s">
        <v>197</v>
      </c>
      <c r="BQ171" t="s">
        <v>708</v>
      </c>
      <c r="BR171" t="s">
        <v>176</v>
      </c>
      <c r="BS171" s="3">
        <v>44823</v>
      </c>
      <c r="BT171" s="4">
        <v>0.32569444444444445</v>
      </c>
      <c r="BU171" t="s">
        <v>709</v>
      </c>
      <c r="BV171" t="s">
        <v>84</v>
      </c>
      <c r="BY171">
        <v>1200</v>
      </c>
      <c r="CA171" t="s">
        <v>435</v>
      </c>
      <c r="CC171" t="s">
        <v>88</v>
      </c>
      <c r="CD171">
        <v>1620</v>
      </c>
      <c r="CE171" t="s">
        <v>707</v>
      </c>
      <c r="CI171">
        <v>1</v>
      </c>
      <c r="CJ171">
        <v>1</v>
      </c>
      <c r="CK171">
        <v>21</v>
      </c>
    </row>
    <row r="172" spans="1:89" x14ac:dyDescent="0.3">
      <c r="A172" t="s">
        <v>72</v>
      </c>
      <c r="B172" t="s">
        <v>73</v>
      </c>
      <c r="C172" t="s">
        <v>74</v>
      </c>
      <c r="E172" t="str">
        <f>"009942581179"</f>
        <v>009942581179</v>
      </c>
      <c r="F172" s="3">
        <v>44820</v>
      </c>
      <c r="G172">
        <v>202306</v>
      </c>
      <c r="H172" t="s">
        <v>90</v>
      </c>
      <c r="I172" t="s">
        <v>91</v>
      </c>
      <c r="J172" t="s">
        <v>147</v>
      </c>
      <c r="L172" t="s">
        <v>75</v>
      </c>
      <c r="M172" t="s">
        <v>76</v>
      </c>
      <c r="N172" t="s">
        <v>148</v>
      </c>
      <c r="O172" t="s">
        <v>127</v>
      </c>
      <c r="P172" t="str">
        <f>"INV186255"</f>
        <v>INV186255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52.2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1.3</v>
      </c>
      <c r="BJ172">
        <v>13.2</v>
      </c>
      <c r="BK172">
        <v>14</v>
      </c>
      <c r="BL172">
        <v>141.65</v>
      </c>
      <c r="BM172">
        <v>21.25</v>
      </c>
      <c r="BN172">
        <v>162.9</v>
      </c>
      <c r="BO172">
        <v>162.9</v>
      </c>
      <c r="BQ172" t="s">
        <v>710</v>
      </c>
      <c r="BR172" t="s">
        <v>150</v>
      </c>
      <c r="BS172" s="3">
        <v>44823</v>
      </c>
      <c r="BT172" s="4">
        <v>0.39930555555555558</v>
      </c>
      <c r="BU172" t="s">
        <v>711</v>
      </c>
      <c r="BV172" t="s">
        <v>84</v>
      </c>
      <c r="BY172">
        <v>66202.5</v>
      </c>
      <c r="BZ172" t="s">
        <v>111</v>
      </c>
      <c r="CA172" t="s">
        <v>287</v>
      </c>
      <c r="CC172" t="s">
        <v>76</v>
      </c>
      <c r="CD172">
        <v>1724</v>
      </c>
      <c r="CE172" t="s">
        <v>86</v>
      </c>
      <c r="CI172">
        <v>3</v>
      </c>
      <c r="CJ172">
        <v>1</v>
      </c>
      <c r="CK172">
        <v>41</v>
      </c>
    </row>
    <row r="173" spans="1:89" x14ac:dyDescent="0.3">
      <c r="A173" t="s">
        <v>72</v>
      </c>
      <c r="B173" t="s">
        <v>73</v>
      </c>
      <c r="C173" t="s">
        <v>74</v>
      </c>
      <c r="E173" t="str">
        <f>"009942581183"</f>
        <v>009942581183</v>
      </c>
      <c r="F173" s="3">
        <v>44820</v>
      </c>
      <c r="G173">
        <v>202306</v>
      </c>
      <c r="H173" t="s">
        <v>90</v>
      </c>
      <c r="I173" t="s">
        <v>91</v>
      </c>
      <c r="J173" t="s">
        <v>147</v>
      </c>
      <c r="L173" t="s">
        <v>118</v>
      </c>
      <c r="M173" t="s">
        <v>119</v>
      </c>
      <c r="N173" t="s">
        <v>148</v>
      </c>
      <c r="O173" t="s">
        <v>127</v>
      </c>
      <c r="P173" t="str">
        <f>"INV186276"</f>
        <v>INV186276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52.2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0.3</v>
      </c>
      <c r="BJ173">
        <v>0.5</v>
      </c>
      <c r="BK173">
        <v>1</v>
      </c>
      <c r="BL173">
        <v>141.65</v>
      </c>
      <c r="BM173">
        <v>21.25</v>
      </c>
      <c r="BN173">
        <v>162.9</v>
      </c>
      <c r="BO173">
        <v>162.9</v>
      </c>
      <c r="BQ173" t="s">
        <v>154</v>
      </c>
      <c r="BR173" t="s">
        <v>150</v>
      </c>
      <c r="BS173" s="3">
        <v>44823</v>
      </c>
      <c r="BT173" s="4">
        <v>0.57847222222222217</v>
      </c>
      <c r="BU173" t="s">
        <v>155</v>
      </c>
      <c r="BV173" t="s">
        <v>84</v>
      </c>
      <c r="BY173">
        <v>2307.48</v>
      </c>
      <c r="BZ173" t="s">
        <v>111</v>
      </c>
      <c r="CA173" t="s">
        <v>156</v>
      </c>
      <c r="CC173" t="s">
        <v>119</v>
      </c>
      <c r="CD173">
        <v>1</v>
      </c>
      <c r="CE173" t="s">
        <v>86</v>
      </c>
      <c r="CI173">
        <v>3</v>
      </c>
      <c r="CJ173">
        <v>1</v>
      </c>
      <c r="CK173">
        <v>41</v>
      </c>
    </row>
    <row r="174" spans="1:89" x14ac:dyDescent="0.3">
      <c r="A174" t="s">
        <v>72</v>
      </c>
      <c r="B174" t="s">
        <v>73</v>
      </c>
      <c r="C174" t="s">
        <v>74</v>
      </c>
      <c r="E174" t="str">
        <f>"009942581182"</f>
        <v>009942581182</v>
      </c>
      <c r="F174" s="3">
        <v>44820</v>
      </c>
      <c r="G174">
        <v>202306</v>
      </c>
      <c r="H174" t="s">
        <v>90</v>
      </c>
      <c r="I174" t="s">
        <v>91</v>
      </c>
      <c r="J174" t="s">
        <v>147</v>
      </c>
      <c r="L174" t="s">
        <v>505</v>
      </c>
      <c r="M174" t="s">
        <v>506</v>
      </c>
      <c r="N174" t="s">
        <v>712</v>
      </c>
      <c r="O174" t="s">
        <v>127</v>
      </c>
      <c r="P174" t="str">
        <f>"INV180267"</f>
        <v>INV180267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52.2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3.6</v>
      </c>
      <c r="BJ174">
        <v>14.2</v>
      </c>
      <c r="BK174">
        <v>15</v>
      </c>
      <c r="BL174">
        <v>141.65</v>
      </c>
      <c r="BM174">
        <v>21.25</v>
      </c>
      <c r="BN174">
        <v>162.9</v>
      </c>
      <c r="BO174">
        <v>162.9</v>
      </c>
      <c r="BQ174" t="s">
        <v>713</v>
      </c>
      <c r="BR174" t="s">
        <v>150</v>
      </c>
      <c r="BS174" s="3">
        <v>44823</v>
      </c>
      <c r="BT174" s="4">
        <v>0.43958333333333338</v>
      </c>
      <c r="BU174" t="s">
        <v>714</v>
      </c>
      <c r="BV174" t="s">
        <v>84</v>
      </c>
      <c r="BY174">
        <v>71014.8</v>
      </c>
      <c r="BZ174" t="s">
        <v>111</v>
      </c>
      <c r="CA174" t="s">
        <v>715</v>
      </c>
      <c r="CC174" t="s">
        <v>506</v>
      </c>
      <c r="CD174">
        <v>3212</v>
      </c>
      <c r="CE174" t="s">
        <v>86</v>
      </c>
      <c r="CI174">
        <v>0</v>
      </c>
      <c r="CJ174">
        <v>0</v>
      </c>
      <c r="CK174">
        <v>41</v>
      </c>
    </row>
    <row r="175" spans="1:89" x14ac:dyDescent="0.3">
      <c r="A175" t="s">
        <v>72</v>
      </c>
      <c r="B175" t="s">
        <v>73</v>
      </c>
      <c r="C175" t="s">
        <v>74</v>
      </c>
      <c r="E175" t="str">
        <f>"009942581180"</f>
        <v>009942581180</v>
      </c>
      <c r="F175" s="3">
        <v>44820</v>
      </c>
      <c r="G175">
        <v>202306</v>
      </c>
      <c r="H175" t="s">
        <v>90</v>
      </c>
      <c r="I175" t="s">
        <v>91</v>
      </c>
      <c r="J175" t="s">
        <v>147</v>
      </c>
      <c r="L175" t="s">
        <v>178</v>
      </c>
      <c r="M175" t="s">
        <v>179</v>
      </c>
      <c r="N175" t="s">
        <v>148</v>
      </c>
      <c r="O175" t="s">
        <v>127</v>
      </c>
      <c r="P175" t="str">
        <f>"INV186263"</f>
        <v>INV186263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52.2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1.2</v>
      </c>
      <c r="BJ175">
        <v>2.8</v>
      </c>
      <c r="BK175">
        <v>3</v>
      </c>
      <c r="BL175">
        <v>141.65</v>
      </c>
      <c r="BM175">
        <v>21.25</v>
      </c>
      <c r="BN175">
        <v>162.9</v>
      </c>
      <c r="BO175">
        <v>162.9</v>
      </c>
      <c r="BQ175" t="s">
        <v>716</v>
      </c>
      <c r="BR175" t="s">
        <v>150</v>
      </c>
      <c r="BS175" s="3">
        <v>44823</v>
      </c>
      <c r="BT175" s="4">
        <v>0.46527777777777773</v>
      </c>
      <c r="BU175" t="s">
        <v>717</v>
      </c>
      <c r="BV175" t="s">
        <v>84</v>
      </c>
      <c r="BY175">
        <v>13908</v>
      </c>
      <c r="BZ175" t="s">
        <v>111</v>
      </c>
      <c r="CA175" t="s">
        <v>718</v>
      </c>
      <c r="CC175" t="s">
        <v>179</v>
      </c>
      <c r="CD175">
        <v>4092</v>
      </c>
      <c r="CE175" t="s">
        <v>86</v>
      </c>
      <c r="CI175">
        <v>4</v>
      </c>
      <c r="CJ175">
        <v>1</v>
      </c>
      <c r="CK175">
        <v>41</v>
      </c>
    </row>
    <row r="176" spans="1:89" x14ac:dyDescent="0.3">
      <c r="A176" t="s">
        <v>72</v>
      </c>
      <c r="B176" t="s">
        <v>73</v>
      </c>
      <c r="C176" t="s">
        <v>74</v>
      </c>
      <c r="E176" t="str">
        <f>"009942581181"</f>
        <v>009942581181</v>
      </c>
      <c r="F176" s="3">
        <v>44820</v>
      </c>
      <c r="G176">
        <v>202306</v>
      </c>
      <c r="H176" t="s">
        <v>90</v>
      </c>
      <c r="I176" t="s">
        <v>91</v>
      </c>
      <c r="J176" t="s">
        <v>147</v>
      </c>
      <c r="L176" t="s">
        <v>505</v>
      </c>
      <c r="M176" t="s">
        <v>506</v>
      </c>
      <c r="N176" t="s">
        <v>719</v>
      </c>
      <c r="O176" t="s">
        <v>127</v>
      </c>
      <c r="P176" t="str">
        <f>"INV186264"</f>
        <v>INV186264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52.2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0.8</v>
      </c>
      <c r="BJ176">
        <v>2.2000000000000002</v>
      </c>
      <c r="BK176">
        <v>3</v>
      </c>
      <c r="BL176">
        <v>141.65</v>
      </c>
      <c r="BM176">
        <v>21.25</v>
      </c>
      <c r="BN176">
        <v>162.9</v>
      </c>
      <c r="BO176">
        <v>162.9</v>
      </c>
      <c r="BQ176" t="s">
        <v>720</v>
      </c>
      <c r="BR176" t="s">
        <v>150</v>
      </c>
      <c r="BS176" s="3">
        <v>44823</v>
      </c>
      <c r="BT176" s="4">
        <v>0.47569444444444442</v>
      </c>
      <c r="BU176" t="s">
        <v>721</v>
      </c>
      <c r="BV176" t="s">
        <v>84</v>
      </c>
      <c r="BY176">
        <v>10840.83</v>
      </c>
      <c r="BZ176" t="s">
        <v>111</v>
      </c>
      <c r="CA176" t="s">
        <v>722</v>
      </c>
      <c r="CC176" t="s">
        <v>506</v>
      </c>
      <c r="CD176">
        <v>3201</v>
      </c>
      <c r="CE176" t="s">
        <v>86</v>
      </c>
      <c r="CI176">
        <v>3</v>
      </c>
      <c r="CJ176">
        <v>1</v>
      </c>
      <c r="CK176">
        <v>41</v>
      </c>
    </row>
    <row r="177" spans="1:89" x14ac:dyDescent="0.3">
      <c r="A177" t="s">
        <v>72</v>
      </c>
      <c r="B177" t="s">
        <v>73</v>
      </c>
      <c r="C177" t="s">
        <v>74</v>
      </c>
      <c r="E177" t="str">
        <f>"009942278742"</f>
        <v>009942278742</v>
      </c>
      <c r="F177" s="3">
        <v>44820</v>
      </c>
      <c r="G177">
        <v>202306</v>
      </c>
      <c r="H177" t="s">
        <v>87</v>
      </c>
      <c r="I177" t="s">
        <v>88</v>
      </c>
      <c r="J177" t="s">
        <v>414</v>
      </c>
      <c r="L177" t="s">
        <v>90</v>
      </c>
      <c r="M177" t="s">
        <v>91</v>
      </c>
      <c r="N177" t="s">
        <v>723</v>
      </c>
      <c r="O177" t="s">
        <v>81</v>
      </c>
      <c r="P177" t="str">
        <f>"J27703"</f>
        <v>J27703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26.99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0.2</v>
      </c>
      <c r="BJ177">
        <v>0.4</v>
      </c>
      <c r="BK177">
        <v>0.5</v>
      </c>
      <c r="BL177">
        <v>70.53</v>
      </c>
      <c r="BM177">
        <v>10.58</v>
      </c>
      <c r="BN177">
        <v>81.11</v>
      </c>
      <c r="BO177">
        <v>81.11</v>
      </c>
      <c r="BQ177" t="s">
        <v>82</v>
      </c>
      <c r="BR177" t="s">
        <v>82</v>
      </c>
      <c r="BS177" s="3">
        <v>44823</v>
      </c>
      <c r="BT177" s="4">
        <v>0.4291666666666667</v>
      </c>
      <c r="BU177" t="s">
        <v>283</v>
      </c>
      <c r="BV177" t="s">
        <v>84</v>
      </c>
      <c r="BY177">
        <v>2064.16</v>
      </c>
      <c r="BZ177" t="s">
        <v>116</v>
      </c>
      <c r="CA177" t="s">
        <v>284</v>
      </c>
      <c r="CC177" t="s">
        <v>91</v>
      </c>
      <c r="CD177">
        <v>7530</v>
      </c>
      <c r="CE177" t="s">
        <v>86</v>
      </c>
      <c r="CI177">
        <v>1</v>
      </c>
      <c r="CJ177">
        <v>1</v>
      </c>
      <c r="CK177">
        <v>21</v>
      </c>
    </row>
    <row r="178" spans="1:89" x14ac:dyDescent="0.3">
      <c r="A178" t="s">
        <v>72</v>
      </c>
      <c r="B178" t="s">
        <v>73</v>
      </c>
      <c r="C178" t="s">
        <v>74</v>
      </c>
      <c r="E178" t="str">
        <f>"009942581191"</f>
        <v>009942581191</v>
      </c>
      <c r="F178" s="3">
        <v>44823</v>
      </c>
      <c r="G178">
        <v>202306</v>
      </c>
      <c r="H178" t="s">
        <v>90</v>
      </c>
      <c r="I178" t="s">
        <v>91</v>
      </c>
      <c r="J178" t="s">
        <v>147</v>
      </c>
      <c r="L178" t="s">
        <v>237</v>
      </c>
      <c r="M178" t="s">
        <v>238</v>
      </c>
      <c r="N178" t="s">
        <v>148</v>
      </c>
      <c r="O178" t="s">
        <v>127</v>
      </c>
      <c r="P178" t="str">
        <f>"INV186413"</f>
        <v>INV186413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52.2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1.9</v>
      </c>
      <c r="BJ178">
        <v>6.7</v>
      </c>
      <c r="BK178">
        <v>7</v>
      </c>
      <c r="BL178">
        <v>141.65</v>
      </c>
      <c r="BM178">
        <v>21.25</v>
      </c>
      <c r="BN178">
        <v>162.9</v>
      </c>
      <c r="BO178">
        <v>162.9</v>
      </c>
      <c r="BQ178" t="s">
        <v>724</v>
      </c>
      <c r="BR178" t="s">
        <v>150</v>
      </c>
      <c r="BS178" s="3">
        <v>44825</v>
      </c>
      <c r="BT178" s="4">
        <v>0.36180555555555555</v>
      </c>
      <c r="BU178" t="s">
        <v>725</v>
      </c>
      <c r="BV178" t="s">
        <v>84</v>
      </c>
      <c r="BY178">
        <v>33412.75</v>
      </c>
      <c r="BZ178" t="s">
        <v>111</v>
      </c>
      <c r="CA178" t="s">
        <v>726</v>
      </c>
      <c r="CC178" t="s">
        <v>238</v>
      </c>
      <c r="CD178">
        <v>1709</v>
      </c>
      <c r="CE178" t="s">
        <v>86</v>
      </c>
      <c r="CI178">
        <v>3</v>
      </c>
      <c r="CJ178">
        <v>2</v>
      </c>
      <c r="CK178">
        <v>41</v>
      </c>
    </row>
    <row r="179" spans="1:89" x14ac:dyDescent="0.3">
      <c r="A179" t="s">
        <v>72</v>
      </c>
      <c r="B179" t="s">
        <v>73</v>
      </c>
      <c r="C179" t="s">
        <v>74</v>
      </c>
      <c r="E179" t="str">
        <f>"009942581184"</f>
        <v>009942581184</v>
      </c>
      <c r="F179" s="3">
        <v>44823</v>
      </c>
      <c r="G179">
        <v>202306</v>
      </c>
      <c r="H179" t="s">
        <v>90</v>
      </c>
      <c r="I179" t="s">
        <v>91</v>
      </c>
      <c r="J179" t="s">
        <v>147</v>
      </c>
      <c r="L179" t="s">
        <v>75</v>
      </c>
      <c r="M179" t="s">
        <v>76</v>
      </c>
      <c r="N179" t="s">
        <v>148</v>
      </c>
      <c r="O179" t="s">
        <v>127</v>
      </c>
      <c r="P179" t="str">
        <f>"INV186395"</f>
        <v>INV186395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52.2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0.2</v>
      </c>
      <c r="BJ179">
        <v>0.5</v>
      </c>
      <c r="BK179">
        <v>1</v>
      </c>
      <c r="BL179">
        <v>141.65</v>
      </c>
      <c r="BM179">
        <v>21.25</v>
      </c>
      <c r="BN179">
        <v>162.9</v>
      </c>
      <c r="BO179">
        <v>162.9</v>
      </c>
      <c r="BQ179" t="s">
        <v>727</v>
      </c>
      <c r="BR179" t="s">
        <v>150</v>
      </c>
      <c r="BS179" s="3">
        <v>44825</v>
      </c>
      <c r="BT179" s="4">
        <v>0.41736111111111113</v>
      </c>
      <c r="BU179" t="s">
        <v>728</v>
      </c>
      <c r="BV179" t="s">
        <v>84</v>
      </c>
      <c r="BY179">
        <v>2533.85</v>
      </c>
      <c r="BZ179" t="s">
        <v>111</v>
      </c>
      <c r="CA179" t="s">
        <v>419</v>
      </c>
      <c r="CC179" t="s">
        <v>76</v>
      </c>
      <c r="CD179">
        <v>2190</v>
      </c>
      <c r="CE179" t="s">
        <v>86</v>
      </c>
      <c r="CI179">
        <v>3</v>
      </c>
      <c r="CJ179">
        <v>2</v>
      </c>
      <c r="CK179">
        <v>41</v>
      </c>
    </row>
    <row r="180" spans="1:89" x14ac:dyDescent="0.3">
      <c r="A180" t="s">
        <v>72</v>
      </c>
      <c r="B180" t="s">
        <v>73</v>
      </c>
      <c r="C180" t="s">
        <v>74</v>
      </c>
      <c r="E180" t="str">
        <f>"009942581185"</f>
        <v>009942581185</v>
      </c>
      <c r="F180" s="3">
        <v>44823</v>
      </c>
      <c r="G180">
        <v>202306</v>
      </c>
      <c r="H180" t="s">
        <v>90</v>
      </c>
      <c r="I180" t="s">
        <v>91</v>
      </c>
      <c r="J180" t="s">
        <v>147</v>
      </c>
      <c r="L180" t="s">
        <v>118</v>
      </c>
      <c r="M180" t="s">
        <v>119</v>
      </c>
      <c r="N180" t="s">
        <v>148</v>
      </c>
      <c r="O180" t="s">
        <v>127</v>
      </c>
      <c r="P180" t="str">
        <f>"INV186401"</f>
        <v>INV186401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52.2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0.2</v>
      </c>
      <c r="BJ180">
        <v>0.6</v>
      </c>
      <c r="BK180">
        <v>1</v>
      </c>
      <c r="BL180">
        <v>141.65</v>
      </c>
      <c r="BM180">
        <v>21.25</v>
      </c>
      <c r="BN180">
        <v>162.9</v>
      </c>
      <c r="BO180">
        <v>162.9</v>
      </c>
      <c r="BQ180" t="s">
        <v>729</v>
      </c>
      <c r="BR180" t="s">
        <v>150</v>
      </c>
      <c r="BS180" s="3">
        <v>44825</v>
      </c>
      <c r="BT180" s="4">
        <v>0.38541666666666669</v>
      </c>
      <c r="BU180" t="s">
        <v>730</v>
      </c>
      <c r="BV180" t="s">
        <v>84</v>
      </c>
      <c r="BY180">
        <v>3059.76</v>
      </c>
      <c r="BZ180" t="s">
        <v>111</v>
      </c>
      <c r="CA180" t="s">
        <v>731</v>
      </c>
      <c r="CC180" t="s">
        <v>119</v>
      </c>
      <c r="CD180">
        <v>81</v>
      </c>
      <c r="CE180" t="s">
        <v>86</v>
      </c>
      <c r="CI180">
        <v>3</v>
      </c>
      <c r="CJ180">
        <v>2</v>
      </c>
      <c r="CK180">
        <v>41</v>
      </c>
    </row>
    <row r="181" spans="1:89" x14ac:dyDescent="0.3">
      <c r="A181" t="s">
        <v>72</v>
      </c>
      <c r="B181" t="s">
        <v>73</v>
      </c>
      <c r="C181" t="s">
        <v>74</v>
      </c>
      <c r="E181" t="str">
        <f>"009942581187"</f>
        <v>009942581187</v>
      </c>
      <c r="F181" s="3">
        <v>44823</v>
      </c>
      <c r="G181">
        <v>202306</v>
      </c>
      <c r="H181" t="s">
        <v>90</v>
      </c>
      <c r="I181" t="s">
        <v>91</v>
      </c>
      <c r="J181" t="s">
        <v>147</v>
      </c>
      <c r="L181" t="s">
        <v>364</v>
      </c>
      <c r="M181" t="s">
        <v>365</v>
      </c>
      <c r="N181" t="s">
        <v>148</v>
      </c>
      <c r="O181" t="s">
        <v>127</v>
      </c>
      <c r="P181" t="str">
        <f>"INV186408"</f>
        <v>INV186408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40.28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0.1</v>
      </c>
      <c r="BJ181">
        <v>0.8</v>
      </c>
      <c r="BK181">
        <v>1</v>
      </c>
      <c r="BL181">
        <v>110.5</v>
      </c>
      <c r="BM181">
        <v>16.579999999999998</v>
      </c>
      <c r="BN181">
        <v>127.08</v>
      </c>
      <c r="BO181">
        <v>127.08</v>
      </c>
      <c r="BQ181" t="s">
        <v>732</v>
      </c>
      <c r="BR181" t="s">
        <v>150</v>
      </c>
      <c r="BS181" s="3">
        <v>44824</v>
      </c>
      <c r="BT181" s="4">
        <v>0.47222222222222227</v>
      </c>
      <c r="BU181" t="s">
        <v>733</v>
      </c>
      <c r="BV181" t="s">
        <v>84</v>
      </c>
      <c r="BY181">
        <v>4060.8</v>
      </c>
      <c r="BZ181" t="s">
        <v>111</v>
      </c>
      <c r="CA181" t="s">
        <v>369</v>
      </c>
      <c r="CC181" t="s">
        <v>365</v>
      </c>
      <c r="CD181">
        <v>7600</v>
      </c>
      <c r="CE181" t="s">
        <v>86</v>
      </c>
      <c r="CI181">
        <v>3</v>
      </c>
      <c r="CJ181">
        <v>1</v>
      </c>
      <c r="CK181">
        <v>42</v>
      </c>
    </row>
    <row r="182" spans="1:89" x14ac:dyDescent="0.3">
      <c r="A182" t="s">
        <v>72</v>
      </c>
      <c r="B182" t="s">
        <v>73</v>
      </c>
      <c r="C182" t="s">
        <v>74</v>
      </c>
      <c r="E182" t="str">
        <f>"009942581186"</f>
        <v>009942581186</v>
      </c>
      <c r="F182" s="3">
        <v>44823</v>
      </c>
      <c r="G182">
        <v>202306</v>
      </c>
      <c r="H182" t="s">
        <v>90</v>
      </c>
      <c r="I182" t="s">
        <v>91</v>
      </c>
      <c r="J182" t="s">
        <v>147</v>
      </c>
      <c r="L182" t="s">
        <v>75</v>
      </c>
      <c r="M182" t="s">
        <v>76</v>
      </c>
      <c r="N182" t="s">
        <v>148</v>
      </c>
      <c r="O182" t="s">
        <v>127</v>
      </c>
      <c r="P182" t="str">
        <f>"INV186404"</f>
        <v>INV186404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52.2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0.8</v>
      </c>
      <c r="BJ182">
        <v>2.4</v>
      </c>
      <c r="BK182">
        <v>3</v>
      </c>
      <c r="BL182">
        <v>141.65</v>
      </c>
      <c r="BM182">
        <v>21.25</v>
      </c>
      <c r="BN182">
        <v>162.9</v>
      </c>
      <c r="BO182">
        <v>162.9</v>
      </c>
      <c r="BQ182" t="s">
        <v>734</v>
      </c>
      <c r="BR182" t="s">
        <v>150</v>
      </c>
      <c r="BS182" s="3">
        <v>44825</v>
      </c>
      <c r="BT182" s="4">
        <v>0.6743055555555556</v>
      </c>
      <c r="BU182" t="s">
        <v>250</v>
      </c>
      <c r="BV182" t="s">
        <v>84</v>
      </c>
      <c r="BY182">
        <v>12145.15</v>
      </c>
      <c r="BZ182" t="s">
        <v>111</v>
      </c>
      <c r="CA182" t="s">
        <v>735</v>
      </c>
      <c r="CC182" t="s">
        <v>76</v>
      </c>
      <c r="CD182">
        <v>2007</v>
      </c>
      <c r="CE182" t="s">
        <v>86</v>
      </c>
      <c r="CI182">
        <v>3</v>
      </c>
      <c r="CJ182">
        <v>2</v>
      </c>
      <c r="CK182">
        <v>41</v>
      </c>
    </row>
    <row r="183" spans="1:89" x14ac:dyDescent="0.3">
      <c r="A183" t="s">
        <v>72</v>
      </c>
      <c r="B183" t="s">
        <v>73</v>
      </c>
      <c r="C183" t="s">
        <v>74</v>
      </c>
      <c r="E183" t="str">
        <f>"009942278748"</f>
        <v>009942278748</v>
      </c>
      <c r="F183" s="3">
        <v>44823</v>
      </c>
      <c r="G183">
        <v>202306</v>
      </c>
      <c r="H183" t="s">
        <v>87</v>
      </c>
      <c r="I183" t="s">
        <v>88</v>
      </c>
      <c r="J183" t="s">
        <v>414</v>
      </c>
      <c r="L183" t="s">
        <v>112</v>
      </c>
      <c r="M183" t="s">
        <v>113</v>
      </c>
      <c r="N183" t="s">
        <v>114</v>
      </c>
      <c r="O183" t="s">
        <v>81</v>
      </c>
      <c r="P183" t="str">
        <f>"J273021J27179"</f>
        <v>J273021J27179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222.85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12</v>
      </c>
      <c r="BJ183">
        <v>8.6999999999999993</v>
      </c>
      <c r="BK183">
        <v>12</v>
      </c>
      <c r="BL183">
        <v>582.29</v>
      </c>
      <c r="BM183">
        <v>87.34</v>
      </c>
      <c r="BN183">
        <v>669.63</v>
      </c>
      <c r="BO183">
        <v>669.63</v>
      </c>
      <c r="BR183" t="s">
        <v>82</v>
      </c>
      <c r="BS183" s="3">
        <v>44824</v>
      </c>
      <c r="BT183" s="4">
        <v>0.35694444444444445</v>
      </c>
      <c r="BU183" t="s">
        <v>736</v>
      </c>
      <c r="BV183" t="s">
        <v>84</v>
      </c>
      <c r="BY183">
        <v>43454.25</v>
      </c>
      <c r="BZ183" t="s">
        <v>116</v>
      </c>
      <c r="CA183" t="s">
        <v>117</v>
      </c>
      <c r="CC183" t="s">
        <v>113</v>
      </c>
      <c r="CD183">
        <v>1900</v>
      </c>
      <c r="CE183" t="s">
        <v>86</v>
      </c>
      <c r="CI183">
        <v>1</v>
      </c>
      <c r="CJ183">
        <v>1</v>
      </c>
      <c r="CK183">
        <v>24</v>
      </c>
    </row>
    <row r="184" spans="1:89" x14ac:dyDescent="0.3">
      <c r="A184" t="s">
        <v>72</v>
      </c>
      <c r="B184" t="s">
        <v>73</v>
      </c>
      <c r="C184" t="s">
        <v>74</v>
      </c>
      <c r="E184" t="str">
        <f>"009942278746"</f>
        <v>009942278746</v>
      </c>
      <c r="F184" s="3">
        <v>44823</v>
      </c>
      <c r="G184">
        <v>202306</v>
      </c>
      <c r="H184" t="s">
        <v>87</v>
      </c>
      <c r="I184" t="s">
        <v>88</v>
      </c>
      <c r="J184" t="s">
        <v>414</v>
      </c>
      <c r="L184" t="s">
        <v>737</v>
      </c>
      <c r="M184" t="s">
        <v>738</v>
      </c>
      <c r="N184" t="s">
        <v>739</v>
      </c>
      <c r="O184" t="s">
        <v>81</v>
      </c>
      <c r="P184" t="str">
        <f>"J27580"</f>
        <v>J27580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56.46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2.8</v>
      </c>
      <c r="BJ184">
        <v>2.2000000000000002</v>
      </c>
      <c r="BK184">
        <v>3</v>
      </c>
      <c r="BL184">
        <v>147.52000000000001</v>
      </c>
      <c r="BM184">
        <v>22.13</v>
      </c>
      <c r="BN184">
        <v>169.65</v>
      </c>
      <c r="BO184">
        <v>169.65</v>
      </c>
      <c r="BQ184" t="s">
        <v>740</v>
      </c>
      <c r="BR184" t="s">
        <v>82</v>
      </c>
      <c r="BS184" s="3">
        <v>44824</v>
      </c>
      <c r="BT184" s="4">
        <v>0.4993055555555555</v>
      </c>
      <c r="BU184" t="s">
        <v>711</v>
      </c>
      <c r="BV184" t="s">
        <v>84</v>
      </c>
      <c r="BY184">
        <v>10922.24</v>
      </c>
      <c r="BZ184" t="s">
        <v>116</v>
      </c>
      <c r="CA184" t="s">
        <v>376</v>
      </c>
      <c r="CC184" t="s">
        <v>738</v>
      </c>
      <c r="CD184">
        <v>1754</v>
      </c>
      <c r="CE184" t="s">
        <v>86</v>
      </c>
      <c r="CI184">
        <v>1</v>
      </c>
      <c r="CJ184">
        <v>1</v>
      </c>
      <c r="CK184">
        <v>24</v>
      </c>
    </row>
    <row r="185" spans="1:89" x14ac:dyDescent="0.3">
      <c r="A185" t="s">
        <v>72</v>
      </c>
      <c r="B185" t="s">
        <v>73</v>
      </c>
      <c r="C185" t="s">
        <v>74</v>
      </c>
      <c r="E185" t="str">
        <f>"009942278743"</f>
        <v>009942278743</v>
      </c>
      <c r="F185" s="3">
        <v>44823</v>
      </c>
      <c r="G185">
        <v>202306</v>
      </c>
      <c r="H185" t="s">
        <v>87</v>
      </c>
      <c r="I185" t="s">
        <v>88</v>
      </c>
      <c r="J185" t="s">
        <v>414</v>
      </c>
      <c r="L185" t="s">
        <v>271</v>
      </c>
      <c r="M185" t="s">
        <v>272</v>
      </c>
      <c r="N185" t="s">
        <v>741</v>
      </c>
      <c r="O185" t="s">
        <v>81</v>
      </c>
      <c r="P185" t="str">
        <f>"J27729"</f>
        <v>J27729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21.09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3</v>
      </c>
      <c r="BJ185">
        <v>0.6</v>
      </c>
      <c r="BK185">
        <v>3</v>
      </c>
      <c r="BL185">
        <v>55.1</v>
      </c>
      <c r="BM185">
        <v>8.27</v>
      </c>
      <c r="BN185">
        <v>63.37</v>
      </c>
      <c r="BO185">
        <v>63.37</v>
      </c>
      <c r="BQ185" t="s">
        <v>742</v>
      </c>
      <c r="BR185" t="s">
        <v>82</v>
      </c>
      <c r="BS185" s="3">
        <v>44824</v>
      </c>
      <c r="BT185" s="4">
        <v>0.3215277777777778</v>
      </c>
      <c r="BU185" t="s">
        <v>743</v>
      </c>
      <c r="BV185" t="s">
        <v>84</v>
      </c>
      <c r="BY185">
        <v>2879.37</v>
      </c>
      <c r="BZ185" t="s">
        <v>116</v>
      </c>
      <c r="CC185" t="s">
        <v>272</v>
      </c>
      <c r="CD185">
        <v>1451</v>
      </c>
      <c r="CE185" t="s">
        <v>86</v>
      </c>
      <c r="CI185">
        <v>1</v>
      </c>
      <c r="CJ185">
        <v>1</v>
      </c>
      <c r="CK185">
        <v>22</v>
      </c>
    </row>
    <row r="186" spans="1:89" x14ac:dyDescent="0.3">
      <c r="A186" t="s">
        <v>72</v>
      </c>
      <c r="B186" t="s">
        <v>73</v>
      </c>
      <c r="C186" t="s">
        <v>74</v>
      </c>
      <c r="E186" t="str">
        <f>"009942278745"</f>
        <v>009942278745</v>
      </c>
      <c r="F186" s="3">
        <v>44823</v>
      </c>
      <c r="G186">
        <v>202306</v>
      </c>
      <c r="H186" t="s">
        <v>87</v>
      </c>
      <c r="I186" t="s">
        <v>88</v>
      </c>
      <c r="J186" t="s">
        <v>414</v>
      </c>
      <c r="L186" t="s">
        <v>118</v>
      </c>
      <c r="M186" t="s">
        <v>119</v>
      </c>
      <c r="N186" t="s">
        <v>744</v>
      </c>
      <c r="O186" t="s">
        <v>81</v>
      </c>
      <c r="P186" t="str">
        <f>"J2771"</f>
        <v>J2771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87.71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6.2</v>
      </c>
      <c r="BJ186">
        <v>1.1000000000000001</v>
      </c>
      <c r="BK186">
        <v>6.5</v>
      </c>
      <c r="BL186">
        <v>229.17</v>
      </c>
      <c r="BM186">
        <v>34.380000000000003</v>
      </c>
      <c r="BN186">
        <v>263.55</v>
      </c>
      <c r="BO186">
        <v>263.55</v>
      </c>
      <c r="BQ186" t="s">
        <v>678</v>
      </c>
      <c r="BR186" t="s">
        <v>82</v>
      </c>
      <c r="BS186" s="3">
        <v>44824</v>
      </c>
      <c r="BT186" s="4">
        <v>0.42777777777777781</v>
      </c>
      <c r="BU186" t="s">
        <v>745</v>
      </c>
      <c r="BV186" t="s">
        <v>84</v>
      </c>
      <c r="BY186">
        <v>5699.93</v>
      </c>
      <c r="BZ186" t="s">
        <v>116</v>
      </c>
      <c r="CA186" t="s">
        <v>123</v>
      </c>
      <c r="CC186" t="s">
        <v>119</v>
      </c>
      <c r="CD186">
        <v>184</v>
      </c>
      <c r="CE186" t="s">
        <v>86</v>
      </c>
      <c r="CI186">
        <v>1</v>
      </c>
      <c r="CJ186">
        <v>1</v>
      </c>
      <c r="CK186">
        <v>21</v>
      </c>
    </row>
    <row r="187" spans="1:89" x14ac:dyDescent="0.3">
      <c r="A187" t="s">
        <v>72</v>
      </c>
      <c r="B187" t="s">
        <v>73</v>
      </c>
      <c r="C187" t="s">
        <v>74</v>
      </c>
      <c r="E187" t="str">
        <f>"009942278747"</f>
        <v>009942278747</v>
      </c>
      <c r="F187" s="3">
        <v>44823</v>
      </c>
      <c r="G187">
        <v>202306</v>
      </c>
      <c r="H187" t="s">
        <v>87</v>
      </c>
      <c r="I187" t="s">
        <v>88</v>
      </c>
      <c r="J187" t="s">
        <v>414</v>
      </c>
      <c r="L187" t="s">
        <v>90</v>
      </c>
      <c r="M187" t="s">
        <v>91</v>
      </c>
      <c r="N187" t="s">
        <v>666</v>
      </c>
      <c r="O187" t="s">
        <v>81</v>
      </c>
      <c r="P187" t="str">
        <f>"J27736 10443"</f>
        <v>J27736 10443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26.99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0.2</v>
      </c>
      <c r="BJ187">
        <v>0.6</v>
      </c>
      <c r="BK187">
        <v>1</v>
      </c>
      <c r="BL187">
        <v>70.53</v>
      </c>
      <c r="BM187">
        <v>10.58</v>
      </c>
      <c r="BN187">
        <v>81.11</v>
      </c>
      <c r="BO187">
        <v>81.11</v>
      </c>
      <c r="BQ187" t="s">
        <v>109</v>
      </c>
      <c r="BR187" t="s">
        <v>82</v>
      </c>
      <c r="BS187" s="3">
        <v>44824</v>
      </c>
      <c r="BT187" s="4">
        <v>0.40277777777777773</v>
      </c>
      <c r="BU187" t="s">
        <v>746</v>
      </c>
      <c r="BV187" t="s">
        <v>84</v>
      </c>
      <c r="BY187">
        <v>3201.78</v>
      </c>
      <c r="BZ187" t="s">
        <v>116</v>
      </c>
      <c r="CA187" t="s">
        <v>284</v>
      </c>
      <c r="CC187" t="s">
        <v>91</v>
      </c>
      <c r="CD187">
        <v>7530</v>
      </c>
      <c r="CE187" t="s">
        <v>86</v>
      </c>
      <c r="CI187">
        <v>1</v>
      </c>
      <c r="CJ187">
        <v>1</v>
      </c>
      <c r="CK187">
        <v>21</v>
      </c>
    </row>
    <row r="188" spans="1:89" x14ac:dyDescent="0.3">
      <c r="A188" t="s">
        <v>72</v>
      </c>
      <c r="B188" t="s">
        <v>73</v>
      </c>
      <c r="C188" t="s">
        <v>74</v>
      </c>
      <c r="E188" t="str">
        <f>"009942278744"</f>
        <v>009942278744</v>
      </c>
      <c r="F188" s="3">
        <v>44823</v>
      </c>
      <c r="G188">
        <v>202306</v>
      </c>
      <c r="H188" t="s">
        <v>87</v>
      </c>
      <c r="I188" t="s">
        <v>88</v>
      </c>
      <c r="J188" t="s">
        <v>414</v>
      </c>
      <c r="L188" t="s">
        <v>220</v>
      </c>
      <c r="M188" t="s">
        <v>221</v>
      </c>
      <c r="N188" t="s">
        <v>245</v>
      </c>
      <c r="O188" t="s">
        <v>81</v>
      </c>
      <c r="P188" t="str">
        <f>"J27727"</f>
        <v>J27727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21.09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0.2</v>
      </c>
      <c r="BJ188">
        <v>0.3</v>
      </c>
      <c r="BK188">
        <v>0.5</v>
      </c>
      <c r="BL188">
        <v>55.1</v>
      </c>
      <c r="BM188">
        <v>8.27</v>
      </c>
      <c r="BN188">
        <v>63.37</v>
      </c>
      <c r="BO188">
        <v>63.37</v>
      </c>
      <c r="BQ188" t="s">
        <v>747</v>
      </c>
      <c r="BR188" t="s">
        <v>82</v>
      </c>
      <c r="BS188" s="3">
        <v>44824</v>
      </c>
      <c r="BT188" s="4">
        <v>0.37916666666666665</v>
      </c>
      <c r="BU188" t="s">
        <v>748</v>
      </c>
      <c r="BV188" t="s">
        <v>84</v>
      </c>
      <c r="BY188">
        <v>1473.12</v>
      </c>
      <c r="BZ188" t="s">
        <v>116</v>
      </c>
      <c r="CA188" t="s">
        <v>225</v>
      </c>
      <c r="CC188" t="s">
        <v>221</v>
      </c>
      <c r="CD188">
        <v>1401</v>
      </c>
      <c r="CE188" t="s">
        <v>86</v>
      </c>
      <c r="CI188">
        <v>1</v>
      </c>
      <c r="CJ188">
        <v>1</v>
      </c>
      <c r="CK188">
        <v>22</v>
      </c>
    </row>
    <row r="189" spans="1:89" x14ac:dyDescent="0.3">
      <c r="A189" t="s">
        <v>72</v>
      </c>
      <c r="B189" t="s">
        <v>73</v>
      </c>
      <c r="C189" t="s">
        <v>74</v>
      </c>
      <c r="E189" t="str">
        <f>"009942581192"</f>
        <v>009942581192</v>
      </c>
      <c r="F189" s="3">
        <v>44824</v>
      </c>
      <c r="G189">
        <v>202306</v>
      </c>
      <c r="H189" t="s">
        <v>90</v>
      </c>
      <c r="I189" t="s">
        <v>91</v>
      </c>
      <c r="J189" t="s">
        <v>147</v>
      </c>
      <c r="L189" t="s">
        <v>90</v>
      </c>
      <c r="M189" t="s">
        <v>91</v>
      </c>
      <c r="N189" t="s">
        <v>749</v>
      </c>
      <c r="O189" t="s">
        <v>107</v>
      </c>
      <c r="P189" t="str">
        <f>"186436"</f>
        <v>186436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21.09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0.1</v>
      </c>
      <c r="BJ189">
        <v>1.1000000000000001</v>
      </c>
      <c r="BK189">
        <v>2</v>
      </c>
      <c r="BL189">
        <v>55.11</v>
      </c>
      <c r="BM189">
        <v>8.27</v>
      </c>
      <c r="BN189">
        <v>63.38</v>
      </c>
      <c r="BO189">
        <v>63.38</v>
      </c>
      <c r="BR189" t="s">
        <v>150</v>
      </c>
      <c r="BS189" s="3">
        <v>44827</v>
      </c>
      <c r="BT189" s="4">
        <v>0.41666666666666669</v>
      </c>
      <c r="BU189" t="s">
        <v>750</v>
      </c>
      <c r="BV189" t="s">
        <v>97</v>
      </c>
      <c r="BY189">
        <v>5452</v>
      </c>
      <c r="BZ189" t="s">
        <v>111</v>
      </c>
      <c r="CC189" t="s">
        <v>91</v>
      </c>
      <c r="CD189">
        <v>7700</v>
      </c>
      <c r="CE189" t="s">
        <v>86</v>
      </c>
      <c r="CI189">
        <v>1</v>
      </c>
      <c r="CJ189">
        <v>3</v>
      </c>
      <c r="CK189">
        <v>32</v>
      </c>
    </row>
    <row r="190" spans="1:89" x14ac:dyDescent="0.3">
      <c r="A190" t="s">
        <v>72</v>
      </c>
      <c r="B190" t="s">
        <v>73</v>
      </c>
      <c r="C190" t="s">
        <v>74</v>
      </c>
      <c r="E190" t="str">
        <f>"009942581193"</f>
        <v>009942581193</v>
      </c>
      <c r="F190" s="3">
        <v>44824</v>
      </c>
      <c r="G190">
        <v>202306</v>
      </c>
      <c r="H190" t="s">
        <v>90</v>
      </c>
      <c r="I190" t="s">
        <v>91</v>
      </c>
      <c r="J190" t="s">
        <v>147</v>
      </c>
      <c r="L190" t="s">
        <v>751</v>
      </c>
      <c r="M190" t="s">
        <v>752</v>
      </c>
      <c r="N190" t="s">
        <v>753</v>
      </c>
      <c r="O190" t="s">
        <v>127</v>
      </c>
      <c r="P190" t="str">
        <f>"186437"</f>
        <v>186437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73.63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2.8</v>
      </c>
      <c r="BJ190">
        <v>12</v>
      </c>
      <c r="BK190">
        <v>12</v>
      </c>
      <c r="BL190">
        <v>197.63</v>
      </c>
      <c r="BM190">
        <v>29.64</v>
      </c>
      <c r="BN190">
        <v>227.27</v>
      </c>
      <c r="BO190">
        <v>227.27</v>
      </c>
      <c r="BR190" t="s">
        <v>150</v>
      </c>
      <c r="BS190" s="3">
        <v>44826</v>
      </c>
      <c r="BT190" s="4">
        <v>0.29166666666666669</v>
      </c>
      <c r="BU190" t="s">
        <v>753</v>
      </c>
      <c r="BV190" t="s">
        <v>84</v>
      </c>
      <c r="BY190">
        <v>60024</v>
      </c>
      <c r="BZ190" t="s">
        <v>111</v>
      </c>
      <c r="CA190" t="s">
        <v>754</v>
      </c>
      <c r="CC190" t="s">
        <v>752</v>
      </c>
      <c r="CD190">
        <v>1930</v>
      </c>
      <c r="CE190" t="s">
        <v>86</v>
      </c>
      <c r="CI190">
        <v>3</v>
      </c>
      <c r="CJ190">
        <v>2</v>
      </c>
      <c r="CK190">
        <v>43</v>
      </c>
    </row>
    <row r="191" spans="1:89" x14ac:dyDescent="0.3">
      <c r="A191" t="s">
        <v>72</v>
      </c>
      <c r="B191" t="s">
        <v>73</v>
      </c>
      <c r="C191" t="s">
        <v>74</v>
      </c>
      <c r="E191" t="str">
        <f>"009942581196"</f>
        <v>009942581196</v>
      </c>
      <c r="F191" s="3">
        <v>44824</v>
      </c>
      <c r="G191">
        <v>202306</v>
      </c>
      <c r="H191" t="s">
        <v>90</v>
      </c>
      <c r="I191" t="s">
        <v>91</v>
      </c>
      <c r="J191" t="s">
        <v>147</v>
      </c>
      <c r="L191" t="s">
        <v>75</v>
      </c>
      <c r="M191" t="s">
        <v>76</v>
      </c>
      <c r="N191" t="s">
        <v>755</v>
      </c>
      <c r="O191" t="s">
        <v>127</v>
      </c>
      <c r="P191" t="str">
        <f>"186434"</f>
        <v>186434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52.2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3.1</v>
      </c>
      <c r="BJ191">
        <v>12.5</v>
      </c>
      <c r="BK191">
        <v>13</v>
      </c>
      <c r="BL191">
        <v>141.65</v>
      </c>
      <c r="BM191">
        <v>21.25</v>
      </c>
      <c r="BN191">
        <v>162.9</v>
      </c>
      <c r="BO191">
        <v>162.9</v>
      </c>
      <c r="BQ191" t="s">
        <v>756</v>
      </c>
      <c r="BR191" t="s">
        <v>150</v>
      </c>
      <c r="BS191" s="3">
        <v>44826</v>
      </c>
      <c r="BT191" s="4">
        <v>0.50624999999999998</v>
      </c>
      <c r="BU191" t="s">
        <v>757</v>
      </c>
      <c r="BV191" t="s">
        <v>84</v>
      </c>
      <c r="BY191">
        <v>62266.75</v>
      </c>
      <c r="BZ191" t="s">
        <v>111</v>
      </c>
      <c r="CA191" t="s">
        <v>758</v>
      </c>
      <c r="CC191" t="s">
        <v>76</v>
      </c>
      <c r="CD191">
        <v>2000</v>
      </c>
      <c r="CE191" t="s">
        <v>86</v>
      </c>
      <c r="CI191">
        <v>3</v>
      </c>
      <c r="CJ191">
        <v>2</v>
      </c>
      <c r="CK191">
        <v>41</v>
      </c>
    </row>
    <row r="192" spans="1:89" x14ac:dyDescent="0.3">
      <c r="A192" t="s">
        <v>72</v>
      </c>
      <c r="B192" t="s">
        <v>73</v>
      </c>
      <c r="C192" t="s">
        <v>74</v>
      </c>
      <c r="E192" t="str">
        <f>"009942581194"</f>
        <v>009942581194</v>
      </c>
      <c r="F192" s="3">
        <v>44824</v>
      </c>
      <c r="G192">
        <v>202306</v>
      </c>
      <c r="H192" t="s">
        <v>90</v>
      </c>
      <c r="I192" t="s">
        <v>91</v>
      </c>
      <c r="J192" t="s">
        <v>147</v>
      </c>
      <c r="L192" t="s">
        <v>751</v>
      </c>
      <c r="M192" t="s">
        <v>752</v>
      </c>
      <c r="N192" t="s">
        <v>759</v>
      </c>
      <c r="O192" t="s">
        <v>127</v>
      </c>
      <c r="P192" t="str">
        <f>"186438."</f>
        <v>186438.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73.63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3.3</v>
      </c>
      <c r="BJ192">
        <v>14.2</v>
      </c>
      <c r="BK192">
        <v>15</v>
      </c>
      <c r="BL192">
        <v>197.63</v>
      </c>
      <c r="BM192">
        <v>29.64</v>
      </c>
      <c r="BN192">
        <v>227.27</v>
      </c>
      <c r="BO192">
        <v>227.27</v>
      </c>
      <c r="BR192" t="s">
        <v>150</v>
      </c>
      <c r="BS192" s="3">
        <v>44826</v>
      </c>
      <c r="BT192" s="4">
        <v>0.63402777777777775</v>
      </c>
      <c r="BU192" t="s">
        <v>760</v>
      </c>
      <c r="BV192" t="s">
        <v>84</v>
      </c>
      <c r="BY192">
        <v>70835.399999999994</v>
      </c>
      <c r="BZ192" t="s">
        <v>111</v>
      </c>
      <c r="CA192" t="s">
        <v>754</v>
      </c>
      <c r="CC192" t="s">
        <v>752</v>
      </c>
      <c r="CD192">
        <v>1930</v>
      </c>
      <c r="CE192" t="s">
        <v>86</v>
      </c>
      <c r="CI192">
        <v>3</v>
      </c>
      <c r="CJ192">
        <v>2</v>
      </c>
      <c r="CK192">
        <v>43</v>
      </c>
    </row>
    <row r="193" spans="1:89" x14ac:dyDescent="0.3">
      <c r="A193" t="s">
        <v>72</v>
      </c>
      <c r="B193" t="s">
        <v>73</v>
      </c>
      <c r="C193" t="s">
        <v>74</v>
      </c>
      <c r="E193" t="str">
        <f>"009942581189"</f>
        <v>009942581189</v>
      </c>
      <c r="F193" s="3">
        <v>44824</v>
      </c>
      <c r="G193">
        <v>202306</v>
      </c>
      <c r="H193" t="s">
        <v>90</v>
      </c>
      <c r="I193" t="s">
        <v>91</v>
      </c>
      <c r="J193" t="s">
        <v>147</v>
      </c>
      <c r="L193" t="s">
        <v>761</v>
      </c>
      <c r="M193" t="s">
        <v>762</v>
      </c>
      <c r="N193" t="s">
        <v>763</v>
      </c>
      <c r="O193" t="s">
        <v>127</v>
      </c>
      <c r="P193" t="str">
        <f>"186411"</f>
        <v>186411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73.63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2.1</v>
      </c>
      <c r="BJ193">
        <v>11.5</v>
      </c>
      <c r="BK193">
        <v>12</v>
      </c>
      <c r="BL193">
        <v>197.63</v>
      </c>
      <c r="BM193">
        <v>29.64</v>
      </c>
      <c r="BN193">
        <v>227.27</v>
      </c>
      <c r="BO193">
        <v>227.27</v>
      </c>
      <c r="BR193" t="s">
        <v>150</v>
      </c>
      <c r="BS193" s="3">
        <v>44826</v>
      </c>
      <c r="BT193" s="4">
        <v>0.53472222222222221</v>
      </c>
      <c r="BU193" t="s">
        <v>764</v>
      </c>
      <c r="BV193" t="s">
        <v>84</v>
      </c>
      <c r="BY193">
        <v>57624</v>
      </c>
      <c r="BZ193" t="s">
        <v>111</v>
      </c>
      <c r="CC193" t="s">
        <v>762</v>
      </c>
      <c r="CD193">
        <v>480</v>
      </c>
      <c r="CE193" t="s">
        <v>86</v>
      </c>
      <c r="CI193">
        <v>4</v>
      </c>
      <c r="CJ193">
        <v>2</v>
      </c>
      <c r="CK193">
        <v>43</v>
      </c>
    </row>
    <row r="194" spans="1:89" x14ac:dyDescent="0.3">
      <c r="A194" t="s">
        <v>72</v>
      </c>
      <c r="B194" t="s">
        <v>73</v>
      </c>
      <c r="C194" t="s">
        <v>74</v>
      </c>
      <c r="E194" t="str">
        <f>"009942581197"</f>
        <v>009942581197</v>
      </c>
      <c r="F194" s="3">
        <v>44824</v>
      </c>
      <c r="G194">
        <v>202306</v>
      </c>
      <c r="H194" t="s">
        <v>90</v>
      </c>
      <c r="I194" t="s">
        <v>91</v>
      </c>
      <c r="J194" t="s">
        <v>147</v>
      </c>
      <c r="L194" t="s">
        <v>765</v>
      </c>
      <c r="M194" t="s">
        <v>766</v>
      </c>
      <c r="N194" t="s">
        <v>767</v>
      </c>
      <c r="O194" t="s">
        <v>127</v>
      </c>
      <c r="P194" t="str">
        <f>"9110"</f>
        <v>9110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73.63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0.8</v>
      </c>
      <c r="BJ194">
        <v>3.2</v>
      </c>
      <c r="BK194">
        <v>4</v>
      </c>
      <c r="BL194">
        <v>197.63</v>
      </c>
      <c r="BM194">
        <v>29.64</v>
      </c>
      <c r="BN194">
        <v>227.27</v>
      </c>
      <c r="BO194">
        <v>227.27</v>
      </c>
      <c r="BR194" t="s">
        <v>150</v>
      </c>
      <c r="BS194" s="3">
        <v>44826</v>
      </c>
      <c r="BT194" s="4">
        <v>0.70694444444444438</v>
      </c>
      <c r="BU194" t="s">
        <v>768</v>
      </c>
      <c r="BV194" t="s">
        <v>84</v>
      </c>
      <c r="BY194">
        <v>16175.77</v>
      </c>
      <c r="BZ194" t="s">
        <v>111</v>
      </c>
      <c r="CA194" t="s">
        <v>769</v>
      </c>
      <c r="CC194" t="s">
        <v>766</v>
      </c>
      <c r="CD194">
        <v>6139</v>
      </c>
      <c r="CE194" t="s">
        <v>86</v>
      </c>
      <c r="CI194">
        <v>4</v>
      </c>
      <c r="CJ194">
        <v>2</v>
      </c>
      <c r="CK194">
        <v>43</v>
      </c>
    </row>
    <row r="195" spans="1:89" x14ac:dyDescent="0.3">
      <c r="A195" t="s">
        <v>72</v>
      </c>
      <c r="B195" t="s">
        <v>73</v>
      </c>
      <c r="C195" t="s">
        <v>74</v>
      </c>
      <c r="E195" t="str">
        <f>"009942581190"</f>
        <v>009942581190</v>
      </c>
      <c r="F195" s="3">
        <v>44824</v>
      </c>
      <c r="G195">
        <v>202306</v>
      </c>
      <c r="H195" t="s">
        <v>90</v>
      </c>
      <c r="I195" t="s">
        <v>91</v>
      </c>
      <c r="J195" t="s">
        <v>147</v>
      </c>
      <c r="L195" t="s">
        <v>157</v>
      </c>
      <c r="M195" t="s">
        <v>158</v>
      </c>
      <c r="N195" t="s">
        <v>770</v>
      </c>
      <c r="O195" t="s">
        <v>127</v>
      </c>
      <c r="P195" t="str">
        <f>"186412"</f>
        <v>186412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57.65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1.3</v>
      </c>
      <c r="BJ195">
        <v>3.3</v>
      </c>
      <c r="BK195">
        <v>4</v>
      </c>
      <c r="BL195">
        <v>155.88999999999999</v>
      </c>
      <c r="BM195">
        <v>23.38</v>
      </c>
      <c r="BN195">
        <v>179.27</v>
      </c>
      <c r="BO195">
        <v>179.27</v>
      </c>
      <c r="BQ195" t="s">
        <v>160</v>
      </c>
      <c r="BR195" t="s">
        <v>150</v>
      </c>
      <c r="BS195" s="3">
        <v>44825</v>
      </c>
      <c r="BT195" s="4">
        <v>0.50416666666666665</v>
      </c>
      <c r="BU195" t="s">
        <v>771</v>
      </c>
      <c r="BV195" t="s">
        <v>84</v>
      </c>
      <c r="BY195">
        <v>16389.45</v>
      </c>
      <c r="BZ195" t="s">
        <v>111</v>
      </c>
      <c r="CA195" t="s">
        <v>162</v>
      </c>
      <c r="CC195" t="s">
        <v>158</v>
      </c>
      <c r="CD195">
        <v>7200</v>
      </c>
      <c r="CE195" t="s">
        <v>86</v>
      </c>
      <c r="CI195">
        <v>4</v>
      </c>
      <c r="CJ195">
        <v>1</v>
      </c>
      <c r="CK195">
        <v>44</v>
      </c>
    </row>
    <row r="196" spans="1:89" x14ac:dyDescent="0.3">
      <c r="A196" t="s">
        <v>72</v>
      </c>
      <c r="B196" t="s">
        <v>73</v>
      </c>
      <c r="C196" t="s">
        <v>74</v>
      </c>
      <c r="E196" t="str">
        <f>"009942581188"</f>
        <v>009942581188</v>
      </c>
      <c r="F196" s="3">
        <v>44824</v>
      </c>
      <c r="G196">
        <v>202306</v>
      </c>
      <c r="H196" t="s">
        <v>90</v>
      </c>
      <c r="I196" t="s">
        <v>91</v>
      </c>
      <c r="J196" t="s">
        <v>147</v>
      </c>
      <c r="L196" t="s">
        <v>101</v>
      </c>
      <c r="M196" t="s">
        <v>102</v>
      </c>
      <c r="N196" t="s">
        <v>772</v>
      </c>
      <c r="O196" t="s">
        <v>127</v>
      </c>
      <c r="P196" t="str">
        <f>"186410"</f>
        <v>186410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52.2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0.2</v>
      </c>
      <c r="BJ196">
        <v>0.8</v>
      </c>
      <c r="BK196">
        <v>1</v>
      </c>
      <c r="BL196">
        <v>141.65</v>
      </c>
      <c r="BM196">
        <v>21.25</v>
      </c>
      <c r="BN196">
        <v>162.9</v>
      </c>
      <c r="BO196">
        <v>162.9</v>
      </c>
      <c r="BR196" t="s">
        <v>150</v>
      </c>
      <c r="BS196" s="3">
        <v>44833</v>
      </c>
      <c r="BT196" s="4">
        <v>0.69791666666666663</v>
      </c>
      <c r="BU196" t="s">
        <v>773</v>
      </c>
      <c r="BV196" t="s">
        <v>97</v>
      </c>
      <c r="BY196">
        <v>4001.78</v>
      </c>
      <c r="BZ196" t="s">
        <v>111</v>
      </c>
      <c r="CC196" t="s">
        <v>102</v>
      </c>
      <c r="CD196">
        <v>6000</v>
      </c>
      <c r="CE196" t="s">
        <v>86</v>
      </c>
      <c r="CI196">
        <v>3</v>
      </c>
      <c r="CJ196">
        <v>7</v>
      </c>
      <c r="CK196">
        <v>41</v>
      </c>
    </row>
    <row r="197" spans="1:89" x14ac:dyDescent="0.3">
      <c r="A197" t="s">
        <v>72</v>
      </c>
      <c r="B197" t="s">
        <v>73</v>
      </c>
      <c r="C197" t="s">
        <v>74</v>
      </c>
      <c r="E197" t="str">
        <f>"009942581198"</f>
        <v>009942581198</v>
      </c>
      <c r="F197" s="3">
        <v>44824</v>
      </c>
      <c r="G197">
        <v>202306</v>
      </c>
      <c r="H197" t="s">
        <v>90</v>
      </c>
      <c r="I197" t="s">
        <v>91</v>
      </c>
      <c r="J197" t="s">
        <v>147</v>
      </c>
      <c r="L197" t="s">
        <v>118</v>
      </c>
      <c r="M197" t="s">
        <v>119</v>
      </c>
      <c r="N197" t="s">
        <v>774</v>
      </c>
      <c r="O197" t="s">
        <v>127</v>
      </c>
      <c r="P197" t="str">
        <f>"186447"</f>
        <v>186447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52.2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</v>
      </c>
      <c r="BJ197">
        <v>3.3</v>
      </c>
      <c r="BK197">
        <v>4</v>
      </c>
      <c r="BL197">
        <v>141.65</v>
      </c>
      <c r="BM197">
        <v>21.25</v>
      </c>
      <c r="BN197">
        <v>162.9</v>
      </c>
      <c r="BO197">
        <v>162.9</v>
      </c>
      <c r="BQ197" t="s">
        <v>775</v>
      </c>
      <c r="BR197" t="s">
        <v>150</v>
      </c>
      <c r="BS197" s="3">
        <v>44826</v>
      </c>
      <c r="BT197" s="4">
        <v>0.5</v>
      </c>
      <c r="BU197" t="s">
        <v>214</v>
      </c>
      <c r="BV197" t="s">
        <v>84</v>
      </c>
      <c r="BY197">
        <v>16713.55</v>
      </c>
      <c r="BZ197" t="s">
        <v>111</v>
      </c>
      <c r="CA197" t="s">
        <v>335</v>
      </c>
      <c r="CC197" t="s">
        <v>119</v>
      </c>
      <c r="CD197">
        <v>158</v>
      </c>
      <c r="CE197" t="s">
        <v>86</v>
      </c>
      <c r="CI197">
        <v>3</v>
      </c>
      <c r="CJ197">
        <v>2</v>
      </c>
      <c r="CK197">
        <v>41</v>
      </c>
    </row>
    <row r="198" spans="1:89" x14ac:dyDescent="0.3">
      <c r="A198" t="s">
        <v>72</v>
      </c>
      <c r="B198" t="s">
        <v>73</v>
      </c>
      <c r="C198" t="s">
        <v>74</v>
      </c>
      <c r="E198" t="str">
        <f>"009942278741"</f>
        <v>009942278741</v>
      </c>
      <c r="F198" s="3">
        <v>44824</v>
      </c>
      <c r="G198">
        <v>202306</v>
      </c>
      <c r="H198" t="s">
        <v>90</v>
      </c>
      <c r="I198" t="s">
        <v>91</v>
      </c>
      <c r="J198" t="s">
        <v>143</v>
      </c>
      <c r="L198" t="s">
        <v>87</v>
      </c>
      <c r="M198" t="s">
        <v>88</v>
      </c>
      <c r="N198" t="s">
        <v>776</v>
      </c>
      <c r="O198" t="s">
        <v>107</v>
      </c>
      <c r="P198" t="str">
        <f>""</f>
        <v/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75.930000000000007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1.1000000000000001</v>
      </c>
      <c r="BJ198">
        <v>5.2</v>
      </c>
      <c r="BK198">
        <v>6</v>
      </c>
      <c r="BL198">
        <v>198.39</v>
      </c>
      <c r="BM198">
        <v>29.76</v>
      </c>
      <c r="BN198">
        <v>228.15</v>
      </c>
      <c r="BO198">
        <v>228.15</v>
      </c>
      <c r="BR198" t="s">
        <v>128</v>
      </c>
      <c r="BS198" s="3">
        <v>44825</v>
      </c>
      <c r="BT198" s="4">
        <v>0.31944444444444448</v>
      </c>
      <c r="BU198" t="s">
        <v>709</v>
      </c>
      <c r="BV198" t="s">
        <v>84</v>
      </c>
      <c r="BY198">
        <v>26229.7</v>
      </c>
      <c r="BZ198" t="s">
        <v>111</v>
      </c>
      <c r="CA198" t="s">
        <v>435</v>
      </c>
      <c r="CC198" t="s">
        <v>88</v>
      </c>
      <c r="CD198">
        <v>1620</v>
      </c>
      <c r="CE198" t="s">
        <v>86</v>
      </c>
      <c r="CI198">
        <v>1</v>
      </c>
      <c r="CJ198">
        <v>1</v>
      </c>
      <c r="CK198">
        <v>31</v>
      </c>
    </row>
    <row r="199" spans="1:89" x14ac:dyDescent="0.3">
      <c r="A199" t="s">
        <v>72</v>
      </c>
      <c r="B199" t="s">
        <v>73</v>
      </c>
      <c r="C199" t="s">
        <v>74</v>
      </c>
      <c r="E199" t="str">
        <f>"080010597618"</f>
        <v>080010597618</v>
      </c>
      <c r="F199" s="3">
        <v>44824</v>
      </c>
      <c r="G199">
        <v>202306</v>
      </c>
      <c r="H199" t="s">
        <v>101</v>
      </c>
      <c r="I199" t="s">
        <v>102</v>
      </c>
      <c r="J199" t="s">
        <v>173</v>
      </c>
      <c r="L199" t="s">
        <v>87</v>
      </c>
      <c r="M199" t="s">
        <v>88</v>
      </c>
      <c r="N199" t="s">
        <v>89</v>
      </c>
      <c r="O199" t="s">
        <v>81</v>
      </c>
      <c r="P199" t="str">
        <f>"X"</f>
        <v>X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107.94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8</v>
      </c>
      <c r="BJ199">
        <v>7.9</v>
      </c>
      <c r="BK199">
        <v>8</v>
      </c>
      <c r="BL199">
        <v>282.04000000000002</v>
      </c>
      <c r="BM199">
        <v>42.31</v>
      </c>
      <c r="BN199">
        <v>324.35000000000002</v>
      </c>
      <c r="BO199">
        <v>324.35000000000002</v>
      </c>
      <c r="BP199" t="s">
        <v>197</v>
      </c>
      <c r="BQ199" t="s">
        <v>175</v>
      </c>
      <c r="BR199" t="s">
        <v>777</v>
      </c>
      <c r="BS199" s="3">
        <v>44825</v>
      </c>
      <c r="BT199" s="4">
        <v>0.31875000000000003</v>
      </c>
      <c r="BU199" t="s">
        <v>709</v>
      </c>
      <c r="BV199" t="s">
        <v>84</v>
      </c>
      <c r="BY199">
        <v>39600</v>
      </c>
      <c r="CA199" t="s">
        <v>435</v>
      </c>
      <c r="CC199" t="s">
        <v>88</v>
      </c>
      <c r="CD199">
        <v>1620</v>
      </c>
      <c r="CE199" t="s">
        <v>704</v>
      </c>
      <c r="CI199">
        <v>1</v>
      </c>
      <c r="CJ199">
        <v>1</v>
      </c>
      <c r="CK199">
        <v>21</v>
      </c>
    </row>
    <row r="200" spans="1:89" x14ac:dyDescent="0.3">
      <c r="A200" t="s">
        <v>72</v>
      </c>
      <c r="B200" t="s">
        <v>73</v>
      </c>
      <c r="C200" t="s">
        <v>74</v>
      </c>
      <c r="E200" t="str">
        <f>"080010597631"</f>
        <v>080010597631</v>
      </c>
      <c r="F200" s="3">
        <v>44824</v>
      </c>
      <c r="G200">
        <v>202306</v>
      </c>
      <c r="H200" t="s">
        <v>101</v>
      </c>
      <c r="I200" t="s">
        <v>102</v>
      </c>
      <c r="J200" t="s">
        <v>173</v>
      </c>
      <c r="L200" t="s">
        <v>90</v>
      </c>
      <c r="M200" t="s">
        <v>91</v>
      </c>
      <c r="N200" t="s">
        <v>89</v>
      </c>
      <c r="O200" t="s">
        <v>81</v>
      </c>
      <c r="P200" t="str">
        <f>"x"</f>
        <v>x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26.99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</v>
      </c>
      <c r="BJ200">
        <v>0.3</v>
      </c>
      <c r="BK200">
        <v>1</v>
      </c>
      <c r="BL200">
        <v>70.53</v>
      </c>
      <c r="BM200">
        <v>10.58</v>
      </c>
      <c r="BN200">
        <v>81.11</v>
      </c>
      <c r="BO200">
        <v>81.11</v>
      </c>
      <c r="BP200" t="s">
        <v>197</v>
      </c>
      <c r="BQ200" t="s">
        <v>109</v>
      </c>
      <c r="BR200" t="s">
        <v>777</v>
      </c>
      <c r="BS200" s="3">
        <v>44825</v>
      </c>
      <c r="BT200" s="4">
        <v>0.4145833333333333</v>
      </c>
      <c r="BU200" t="s">
        <v>778</v>
      </c>
      <c r="BV200" t="s">
        <v>84</v>
      </c>
      <c r="BY200">
        <v>1500</v>
      </c>
      <c r="CA200" t="s">
        <v>284</v>
      </c>
      <c r="CC200" t="s">
        <v>91</v>
      </c>
      <c r="CD200">
        <v>7530</v>
      </c>
      <c r="CE200" t="s">
        <v>707</v>
      </c>
      <c r="CI200">
        <v>1</v>
      </c>
      <c r="CJ200">
        <v>1</v>
      </c>
      <c r="CK200">
        <v>21</v>
      </c>
    </row>
    <row r="201" spans="1:89" x14ac:dyDescent="0.3">
      <c r="A201" t="s">
        <v>72</v>
      </c>
      <c r="B201" t="s">
        <v>73</v>
      </c>
      <c r="C201" t="s">
        <v>74</v>
      </c>
      <c r="E201" t="str">
        <f>"009942581195"</f>
        <v>009942581195</v>
      </c>
      <c r="F201" s="3">
        <v>44824</v>
      </c>
      <c r="G201">
        <v>202306</v>
      </c>
      <c r="H201" t="s">
        <v>90</v>
      </c>
      <c r="I201" t="s">
        <v>91</v>
      </c>
      <c r="J201" t="s">
        <v>147</v>
      </c>
      <c r="L201" t="s">
        <v>178</v>
      </c>
      <c r="M201" t="s">
        <v>179</v>
      </c>
      <c r="N201" t="s">
        <v>779</v>
      </c>
      <c r="O201" t="s">
        <v>127</v>
      </c>
      <c r="P201" t="str">
        <f>"186441"</f>
        <v>186441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52.2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15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</v>
      </c>
      <c r="BJ201">
        <v>0.2</v>
      </c>
      <c r="BK201">
        <v>1</v>
      </c>
      <c r="BL201">
        <v>156.65</v>
      </c>
      <c r="BM201">
        <v>23.5</v>
      </c>
      <c r="BN201">
        <v>180.15</v>
      </c>
      <c r="BO201">
        <v>180.15</v>
      </c>
      <c r="BQ201" t="s">
        <v>780</v>
      </c>
      <c r="BR201" t="s">
        <v>150</v>
      </c>
      <c r="BS201" s="3">
        <v>44826</v>
      </c>
      <c r="BT201" s="4">
        <v>0.56944444444444442</v>
      </c>
      <c r="BU201" t="s">
        <v>781</v>
      </c>
      <c r="BV201" t="s">
        <v>84</v>
      </c>
      <c r="BY201">
        <v>1200</v>
      </c>
      <c r="BZ201" t="s">
        <v>205</v>
      </c>
      <c r="CA201" t="s">
        <v>612</v>
      </c>
      <c r="CC201" t="s">
        <v>179</v>
      </c>
      <c r="CD201">
        <v>4091</v>
      </c>
      <c r="CE201" t="s">
        <v>86</v>
      </c>
      <c r="CI201">
        <v>4</v>
      </c>
      <c r="CJ201">
        <v>2</v>
      </c>
      <c r="CK201">
        <v>41</v>
      </c>
    </row>
    <row r="202" spans="1:89" x14ac:dyDescent="0.3">
      <c r="A202" t="s">
        <v>72</v>
      </c>
      <c r="B202" t="s">
        <v>73</v>
      </c>
      <c r="C202" t="s">
        <v>74</v>
      </c>
      <c r="E202" t="str">
        <f>"009942358060"</f>
        <v>009942358060</v>
      </c>
      <c r="F202" s="3">
        <v>44824</v>
      </c>
      <c r="G202">
        <v>202306</v>
      </c>
      <c r="H202" t="s">
        <v>90</v>
      </c>
      <c r="I202" t="s">
        <v>91</v>
      </c>
      <c r="J202" t="s">
        <v>124</v>
      </c>
      <c r="L202" t="s">
        <v>782</v>
      </c>
      <c r="M202" t="s">
        <v>783</v>
      </c>
      <c r="N202" t="s">
        <v>784</v>
      </c>
      <c r="O202" t="s">
        <v>127</v>
      </c>
      <c r="P202" t="str">
        <f>""</f>
        <v/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15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81.66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2</v>
      </c>
      <c r="BI202">
        <v>26</v>
      </c>
      <c r="BJ202">
        <v>30.1</v>
      </c>
      <c r="BK202">
        <v>31</v>
      </c>
      <c r="BL202">
        <v>233.62</v>
      </c>
      <c r="BM202">
        <v>35.04</v>
      </c>
      <c r="BN202">
        <v>268.66000000000003</v>
      </c>
      <c r="BO202">
        <v>268.66000000000003</v>
      </c>
      <c r="BP202" t="s">
        <v>785</v>
      </c>
      <c r="BQ202" t="s">
        <v>128</v>
      </c>
      <c r="BR202" t="s">
        <v>129</v>
      </c>
      <c r="BS202" s="3">
        <v>44825</v>
      </c>
      <c r="BT202" s="4">
        <v>0.60138888888888886</v>
      </c>
      <c r="BU202" t="s">
        <v>786</v>
      </c>
      <c r="BV202" t="s">
        <v>84</v>
      </c>
      <c r="BY202">
        <v>150437.20000000001</v>
      </c>
      <c r="BZ202" t="s">
        <v>131</v>
      </c>
      <c r="CA202" t="s">
        <v>787</v>
      </c>
      <c r="CC202" t="s">
        <v>783</v>
      </c>
      <c r="CD202">
        <v>7380</v>
      </c>
      <c r="CE202" t="s">
        <v>86</v>
      </c>
      <c r="CI202">
        <v>4</v>
      </c>
      <c r="CJ202">
        <v>1</v>
      </c>
      <c r="CK202">
        <v>44</v>
      </c>
    </row>
    <row r="203" spans="1:89" x14ac:dyDescent="0.3">
      <c r="A203" t="s">
        <v>72</v>
      </c>
      <c r="B203" t="s">
        <v>73</v>
      </c>
      <c r="C203" t="s">
        <v>74</v>
      </c>
      <c r="E203" t="str">
        <f>"009942278753"</f>
        <v>009942278753</v>
      </c>
      <c r="F203" s="3">
        <v>44824</v>
      </c>
      <c r="G203">
        <v>202306</v>
      </c>
      <c r="H203" t="s">
        <v>87</v>
      </c>
      <c r="I203" t="s">
        <v>88</v>
      </c>
      <c r="J203" t="s">
        <v>414</v>
      </c>
      <c r="L203" t="s">
        <v>90</v>
      </c>
      <c r="M203" t="s">
        <v>91</v>
      </c>
      <c r="N203" t="s">
        <v>666</v>
      </c>
      <c r="O203" t="s">
        <v>81</v>
      </c>
      <c r="P203" t="str">
        <f>"J31206 07 12  13"</f>
        <v>J31206 07 12  13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26.99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1.8</v>
      </c>
      <c r="BJ203">
        <v>1.5</v>
      </c>
      <c r="BK203">
        <v>2</v>
      </c>
      <c r="BL203">
        <v>70.53</v>
      </c>
      <c r="BM203">
        <v>10.58</v>
      </c>
      <c r="BN203">
        <v>81.11</v>
      </c>
      <c r="BO203">
        <v>81.11</v>
      </c>
      <c r="BQ203" t="s">
        <v>109</v>
      </c>
      <c r="BR203" t="s">
        <v>82</v>
      </c>
      <c r="BS203" s="3">
        <v>44825</v>
      </c>
      <c r="BT203" s="4">
        <v>0.41180555555555554</v>
      </c>
      <c r="BU203" t="s">
        <v>788</v>
      </c>
      <c r="BV203" t="s">
        <v>84</v>
      </c>
      <c r="BY203">
        <v>7703.69</v>
      </c>
      <c r="BZ203" t="s">
        <v>116</v>
      </c>
      <c r="CA203" t="s">
        <v>284</v>
      </c>
      <c r="CC203" t="s">
        <v>91</v>
      </c>
      <c r="CD203">
        <v>7530</v>
      </c>
      <c r="CE203" t="s">
        <v>86</v>
      </c>
      <c r="CI203">
        <v>1</v>
      </c>
      <c r="CJ203">
        <v>1</v>
      </c>
      <c r="CK203">
        <v>21</v>
      </c>
    </row>
    <row r="204" spans="1:89" x14ac:dyDescent="0.3">
      <c r="A204" t="s">
        <v>72</v>
      </c>
      <c r="B204" t="s">
        <v>73</v>
      </c>
      <c r="C204" t="s">
        <v>74</v>
      </c>
      <c r="E204" t="str">
        <f>"009942278751"</f>
        <v>009942278751</v>
      </c>
      <c r="F204" s="3">
        <v>44824</v>
      </c>
      <c r="G204">
        <v>202306</v>
      </c>
      <c r="H204" t="s">
        <v>87</v>
      </c>
      <c r="I204" t="s">
        <v>88</v>
      </c>
      <c r="J204" t="s">
        <v>414</v>
      </c>
      <c r="L204" t="s">
        <v>657</v>
      </c>
      <c r="M204" t="s">
        <v>658</v>
      </c>
      <c r="N204" t="s">
        <v>789</v>
      </c>
      <c r="O204" t="s">
        <v>81</v>
      </c>
      <c r="P204" t="str">
        <f>"J27455"</f>
        <v>J27455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130.41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6.9</v>
      </c>
      <c r="BJ204">
        <v>2.8</v>
      </c>
      <c r="BK204">
        <v>7</v>
      </c>
      <c r="BL204">
        <v>340.75</v>
      </c>
      <c r="BM204">
        <v>51.11</v>
      </c>
      <c r="BN204">
        <v>391.86</v>
      </c>
      <c r="BO204">
        <v>391.86</v>
      </c>
      <c r="BQ204" t="s">
        <v>790</v>
      </c>
      <c r="BR204" t="s">
        <v>82</v>
      </c>
      <c r="BS204" s="3">
        <v>44825</v>
      </c>
      <c r="BT204" s="4">
        <v>0.61527777777777781</v>
      </c>
      <c r="BU204" t="s">
        <v>791</v>
      </c>
      <c r="BV204" t="s">
        <v>97</v>
      </c>
      <c r="BY204">
        <v>13824.21</v>
      </c>
      <c r="BZ204" t="s">
        <v>116</v>
      </c>
      <c r="CC204" t="s">
        <v>658</v>
      </c>
      <c r="CD204">
        <v>1438</v>
      </c>
      <c r="CE204" t="s">
        <v>86</v>
      </c>
      <c r="CI204">
        <v>1</v>
      </c>
      <c r="CJ204">
        <v>1</v>
      </c>
      <c r="CK204">
        <v>24</v>
      </c>
    </row>
    <row r="205" spans="1:89" x14ac:dyDescent="0.3">
      <c r="A205" t="s">
        <v>72</v>
      </c>
      <c r="B205" t="s">
        <v>73</v>
      </c>
      <c r="C205" t="s">
        <v>74</v>
      </c>
      <c r="E205" t="str">
        <f>"009942278749"</f>
        <v>009942278749</v>
      </c>
      <c r="F205" s="3">
        <v>44824</v>
      </c>
      <c r="G205">
        <v>202306</v>
      </c>
      <c r="H205" t="s">
        <v>87</v>
      </c>
      <c r="I205" t="s">
        <v>88</v>
      </c>
      <c r="J205" t="s">
        <v>414</v>
      </c>
      <c r="L205" t="s">
        <v>792</v>
      </c>
      <c r="M205" t="s">
        <v>793</v>
      </c>
      <c r="N205" t="s">
        <v>794</v>
      </c>
      <c r="O205" t="s">
        <v>81</v>
      </c>
      <c r="P205" t="str">
        <f>"C21523"</f>
        <v>C21523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52.3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0.5</v>
      </c>
      <c r="BJ205">
        <v>1.2</v>
      </c>
      <c r="BK205">
        <v>1.5</v>
      </c>
      <c r="BL205">
        <v>136.66</v>
      </c>
      <c r="BM205">
        <v>20.5</v>
      </c>
      <c r="BN205">
        <v>157.16</v>
      </c>
      <c r="BO205">
        <v>157.16</v>
      </c>
      <c r="BQ205" t="s">
        <v>795</v>
      </c>
      <c r="BR205" t="s">
        <v>82</v>
      </c>
      <c r="BS205" s="3">
        <v>44825</v>
      </c>
      <c r="BT205" s="4">
        <v>0.45555555555555555</v>
      </c>
      <c r="BU205" t="s">
        <v>796</v>
      </c>
      <c r="BV205" t="s">
        <v>84</v>
      </c>
      <c r="BY205">
        <v>6048.77</v>
      </c>
      <c r="BZ205" t="s">
        <v>116</v>
      </c>
      <c r="CA205" t="s">
        <v>797</v>
      </c>
      <c r="CC205" t="s">
        <v>793</v>
      </c>
      <c r="CD205">
        <v>7349</v>
      </c>
      <c r="CE205" t="s">
        <v>86</v>
      </c>
      <c r="CI205">
        <v>1</v>
      </c>
      <c r="CJ205">
        <v>1</v>
      </c>
      <c r="CK205">
        <v>23</v>
      </c>
    </row>
    <row r="206" spans="1:89" x14ac:dyDescent="0.3">
      <c r="A206" t="s">
        <v>72</v>
      </c>
      <c r="B206" t="s">
        <v>73</v>
      </c>
      <c r="C206" t="s">
        <v>74</v>
      </c>
      <c r="E206" t="str">
        <f>"009942773290"</f>
        <v>009942773290</v>
      </c>
      <c r="F206" s="3">
        <v>44824</v>
      </c>
      <c r="G206">
        <v>202306</v>
      </c>
      <c r="H206" t="s">
        <v>90</v>
      </c>
      <c r="I206" t="s">
        <v>91</v>
      </c>
      <c r="J206" t="s">
        <v>798</v>
      </c>
      <c r="L206" t="s">
        <v>90</v>
      </c>
      <c r="M206" t="s">
        <v>91</v>
      </c>
      <c r="N206" t="s">
        <v>799</v>
      </c>
      <c r="O206" t="s">
        <v>81</v>
      </c>
      <c r="P206" t="str">
        <f>"CPT661305"</f>
        <v>CPT661305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21.09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</v>
      </c>
      <c r="BJ206">
        <v>0.2</v>
      </c>
      <c r="BK206">
        <v>1</v>
      </c>
      <c r="BL206">
        <v>55.1</v>
      </c>
      <c r="BM206">
        <v>8.27</v>
      </c>
      <c r="BN206">
        <v>63.37</v>
      </c>
      <c r="BO206">
        <v>63.37</v>
      </c>
      <c r="BP206" t="s">
        <v>800</v>
      </c>
      <c r="BR206" t="s">
        <v>109</v>
      </c>
      <c r="BS206" s="3">
        <v>44824</v>
      </c>
      <c r="BT206" s="4">
        <v>0.49513888888888885</v>
      </c>
      <c r="BU206" t="s">
        <v>801</v>
      </c>
      <c r="BV206" t="s">
        <v>84</v>
      </c>
      <c r="BY206">
        <v>1200</v>
      </c>
      <c r="BZ206" t="s">
        <v>116</v>
      </c>
      <c r="CC206" t="s">
        <v>91</v>
      </c>
      <c r="CD206">
        <v>7580</v>
      </c>
      <c r="CE206" t="s">
        <v>86</v>
      </c>
      <c r="CI206">
        <v>1</v>
      </c>
      <c r="CJ206">
        <v>0</v>
      </c>
      <c r="CK206">
        <v>22</v>
      </c>
    </row>
    <row r="207" spans="1:89" x14ac:dyDescent="0.3">
      <c r="A207" t="s">
        <v>72</v>
      </c>
      <c r="B207" t="s">
        <v>73</v>
      </c>
      <c r="C207" t="s">
        <v>74</v>
      </c>
      <c r="E207" t="str">
        <f>"009942773286"</f>
        <v>009942773286</v>
      </c>
      <c r="F207" s="3">
        <v>44824</v>
      </c>
      <c r="G207">
        <v>202306</v>
      </c>
      <c r="H207" t="s">
        <v>90</v>
      </c>
      <c r="I207" t="s">
        <v>91</v>
      </c>
      <c r="J207" t="s">
        <v>89</v>
      </c>
      <c r="L207" t="s">
        <v>99</v>
      </c>
      <c r="M207" t="s">
        <v>100</v>
      </c>
      <c r="N207" t="s">
        <v>802</v>
      </c>
      <c r="O207" t="s">
        <v>81</v>
      </c>
      <c r="P207" t="str">
        <f>"CPT661298"</f>
        <v>CPT661298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26.99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</v>
      </c>
      <c r="BJ207">
        <v>0.2</v>
      </c>
      <c r="BK207">
        <v>1</v>
      </c>
      <c r="BL207">
        <v>70.53</v>
      </c>
      <c r="BM207">
        <v>10.58</v>
      </c>
      <c r="BN207">
        <v>81.11</v>
      </c>
      <c r="BO207">
        <v>81.11</v>
      </c>
      <c r="BP207" t="s">
        <v>803</v>
      </c>
      <c r="BR207" t="s">
        <v>109</v>
      </c>
      <c r="BS207" s="3">
        <v>44825</v>
      </c>
      <c r="BT207" s="4">
        <v>0.26805555555555555</v>
      </c>
      <c r="BU207" t="s">
        <v>804</v>
      </c>
      <c r="BV207" t="s">
        <v>84</v>
      </c>
      <c r="BY207">
        <v>1200</v>
      </c>
      <c r="BZ207" t="s">
        <v>116</v>
      </c>
      <c r="CC207" t="s">
        <v>100</v>
      </c>
      <c r="CD207">
        <v>3608</v>
      </c>
      <c r="CE207" t="s">
        <v>86</v>
      </c>
      <c r="CI207">
        <v>1</v>
      </c>
      <c r="CJ207">
        <v>1</v>
      </c>
      <c r="CK207">
        <v>21</v>
      </c>
    </row>
    <row r="208" spans="1:89" x14ac:dyDescent="0.3">
      <c r="A208" t="s">
        <v>72</v>
      </c>
      <c r="B208" t="s">
        <v>73</v>
      </c>
      <c r="C208" t="s">
        <v>74</v>
      </c>
      <c r="E208" t="str">
        <f>"009942773287"</f>
        <v>009942773287</v>
      </c>
      <c r="F208" s="3">
        <v>44824</v>
      </c>
      <c r="G208">
        <v>202306</v>
      </c>
      <c r="H208" t="s">
        <v>90</v>
      </c>
      <c r="I208" t="s">
        <v>91</v>
      </c>
      <c r="J208" t="s">
        <v>89</v>
      </c>
      <c r="L208" t="s">
        <v>87</v>
      </c>
      <c r="M208" t="s">
        <v>88</v>
      </c>
      <c r="N208" t="s">
        <v>89</v>
      </c>
      <c r="O208" t="s">
        <v>81</v>
      </c>
      <c r="P208" t="str">
        <f>"CPT661299"</f>
        <v>CPT661299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26.99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</v>
      </c>
      <c r="BJ208">
        <v>0.2</v>
      </c>
      <c r="BK208">
        <v>1</v>
      </c>
      <c r="BL208">
        <v>70.53</v>
      </c>
      <c r="BM208">
        <v>10.58</v>
      </c>
      <c r="BN208">
        <v>81.11</v>
      </c>
      <c r="BO208">
        <v>81.11</v>
      </c>
      <c r="BP208" t="s">
        <v>805</v>
      </c>
      <c r="BR208" t="s">
        <v>806</v>
      </c>
      <c r="BS208" s="3">
        <v>44825</v>
      </c>
      <c r="BT208" s="4">
        <v>0.3263888888888889</v>
      </c>
      <c r="BU208" t="s">
        <v>807</v>
      </c>
      <c r="BV208" t="s">
        <v>84</v>
      </c>
      <c r="BY208">
        <v>1200</v>
      </c>
      <c r="BZ208" t="s">
        <v>116</v>
      </c>
      <c r="CC208" t="s">
        <v>88</v>
      </c>
      <c r="CD208">
        <v>1620</v>
      </c>
      <c r="CE208" t="s">
        <v>86</v>
      </c>
      <c r="CI208">
        <v>1</v>
      </c>
      <c r="CJ208">
        <v>1</v>
      </c>
      <c r="CK208">
        <v>21</v>
      </c>
    </row>
    <row r="209" spans="1:89" x14ac:dyDescent="0.3">
      <c r="A209" t="s">
        <v>72</v>
      </c>
      <c r="B209" t="s">
        <v>73</v>
      </c>
      <c r="C209" t="s">
        <v>74</v>
      </c>
      <c r="E209" t="str">
        <f>"009942278731"</f>
        <v>009942278731</v>
      </c>
      <c r="F209" s="3">
        <v>44825</v>
      </c>
      <c r="G209">
        <v>202306</v>
      </c>
      <c r="H209" t="s">
        <v>99</v>
      </c>
      <c r="I209" t="s">
        <v>100</v>
      </c>
      <c r="J209" t="s">
        <v>89</v>
      </c>
      <c r="L209" t="s">
        <v>90</v>
      </c>
      <c r="M209" t="s">
        <v>91</v>
      </c>
      <c r="N209" t="s">
        <v>89</v>
      </c>
      <c r="O209" t="s">
        <v>81</v>
      </c>
      <c r="P209" t="str">
        <f>"TELTRA"</f>
        <v>TELTRA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33.74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0.3</v>
      </c>
      <c r="BJ209">
        <v>2.4</v>
      </c>
      <c r="BK209">
        <v>2.5</v>
      </c>
      <c r="BL209">
        <v>88.16</v>
      </c>
      <c r="BM209">
        <v>13.22</v>
      </c>
      <c r="BN209">
        <v>101.38</v>
      </c>
      <c r="BO209">
        <v>101.38</v>
      </c>
      <c r="BQ209" t="s">
        <v>808</v>
      </c>
      <c r="BS209" s="3">
        <v>44827</v>
      </c>
      <c r="BT209" s="4">
        <v>0.39583333333333331</v>
      </c>
      <c r="BU209" t="s">
        <v>283</v>
      </c>
      <c r="BV209" t="s">
        <v>97</v>
      </c>
      <c r="BY209">
        <v>12000</v>
      </c>
      <c r="BZ209" t="s">
        <v>116</v>
      </c>
      <c r="CA209" t="s">
        <v>284</v>
      </c>
      <c r="CC209" t="s">
        <v>91</v>
      </c>
      <c r="CD209">
        <v>8001</v>
      </c>
      <c r="CE209" t="s">
        <v>86</v>
      </c>
      <c r="CI209">
        <v>1</v>
      </c>
      <c r="CJ209">
        <v>2</v>
      </c>
      <c r="CK209">
        <v>21</v>
      </c>
    </row>
    <row r="210" spans="1:89" x14ac:dyDescent="0.3">
      <c r="A210" t="s">
        <v>72</v>
      </c>
      <c r="B210" t="s">
        <v>73</v>
      </c>
      <c r="C210" t="s">
        <v>74</v>
      </c>
      <c r="E210" t="str">
        <f>"009942581199"</f>
        <v>009942581199</v>
      </c>
      <c r="F210" s="3">
        <v>44825</v>
      </c>
      <c r="G210">
        <v>202306</v>
      </c>
      <c r="H210" t="s">
        <v>90</v>
      </c>
      <c r="I210" t="s">
        <v>91</v>
      </c>
      <c r="J210" t="s">
        <v>147</v>
      </c>
      <c r="L210" t="s">
        <v>101</v>
      </c>
      <c r="M210" t="s">
        <v>102</v>
      </c>
      <c r="N210" t="s">
        <v>809</v>
      </c>
      <c r="O210" t="s">
        <v>127</v>
      </c>
      <c r="P210" t="str">
        <f>"186463"</f>
        <v>186463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52.2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1.3</v>
      </c>
      <c r="BJ210">
        <v>6.4</v>
      </c>
      <c r="BK210">
        <v>7</v>
      </c>
      <c r="BL210">
        <v>141.65</v>
      </c>
      <c r="BM210">
        <v>21.25</v>
      </c>
      <c r="BN210">
        <v>162.9</v>
      </c>
      <c r="BO210">
        <v>162.9</v>
      </c>
      <c r="BR210" t="s">
        <v>150</v>
      </c>
      <c r="BS210" s="3">
        <v>44827</v>
      </c>
      <c r="BT210" s="4">
        <v>0.3263888888888889</v>
      </c>
      <c r="BU210" t="s">
        <v>809</v>
      </c>
      <c r="BV210" t="s">
        <v>84</v>
      </c>
      <c r="BY210">
        <v>32206.9</v>
      </c>
      <c r="BZ210" t="s">
        <v>111</v>
      </c>
      <c r="CA210" t="s">
        <v>146</v>
      </c>
      <c r="CC210" t="s">
        <v>102</v>
      </c>
      <c r="CD210">
        <v>6000</v>
      </c>
      <c r="CE210" t="s">
        <v>86</v>
      </c>
      <c r="CI210">
        <v>3</v>
      </c>
      <c r="CJ210">
        <v>2</v>
      </c>
      <c r="CK210">
        <v>41</v>
      </c>
    </row>
    <row r="211" spans="1:89" x14ac:dyDescent="0.3">
      <c r="A211" t="s">
        <v>72</v>
      </c>
      <c r="B211" t="s">
        <v>73</v>
      </c>
      <c r="C211" t="s">
        <v>74</v>
      </c>
      <c r="E211" t="str">
        <f>"009942581200"</f>
        <v>009942581200</v>
      </c>
      <c r="F211" s="3">
        <v>44825</v>
      </c>
      <c r="G211">
        <v>202306</v>
      </c>
      <c r="H211" t="s">
        <v>90</v>
      </c>
      <c r="I211" t="s">
        <v>91</v>
      </c>
      <c r="J211" t="s">
        <v>147</v>
      </c>
      <c r="L211" t="s">
        <v>90</v>
      </c>
      <c r="M211" t="s">
        <v>91</v>
      </c>
      <c r="N211" t="s">
        <v>810</v>
      </c>
      <c r="O211" t="s">
        <v>107</v>
      </c>
      <c r="P211" t="str">
        <f>"186464"</f>
        <v>186464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21.09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0.4</v>
      </c>
      <c r="BJ211">
        <v>1</v>
      </c>
      <c r="BK211">
        <v>1</v>
      </c>
      <c r="BL211">
        <v>55.11</v>
      </c>
      <c r="BM211">
        <v>8.27</v>
      </c>
      <c r="BN211">
        <v>63.38</v>
      </c>
      <c r="BO211">
        <v>63.38</v>
      </c>
      <c r="BQ211">
        <v>721114057</v>
      </c>
      <c r="BR211" t="s">
        <v>150</v>
      </c>
      <c r="BS211" s="3">
        <v>44826</v>
      </c>
      <c r="BT211" s="4">
        <v>0.42708333333333331</v>
      </c>
      <c r="BU211" t="s">
        <v>810</v>
      </c>
      <c r="BV211" t="s">
        <v>84</v>
      </c>
      <c r="BY211">
        <v>5003.46</v>
      </c>
      <c r="BZ211" t="s">
        <v>111</v>
      </c>
      <c r="CA211" t="s">
        <v>165</v>
      </c>
      <c r="CC211" t="s">
        <v>91</v>
      </c>
      <c r="CD211">
        <v>8060</v>
      </c>
      <c r="CE211" t="s">
        <v>86</v>
      </c>
      <c r="CI211">
        <v>1</v>
      </c>
      <c r="CJ211">
        <v>1</v>
      </c>
      <c r="CK211">
        <v>32</v>
      </c>
    </row>
    <row r="212" spans="1:89" x14ac:dyDescent="0.3">
      <c r="A212" t="s">
        <v>72</v>
      </c>
      <c r="B212" t="s">
        <v>73</v>
      </c>
      <c r="C212" t="s">
        <v>74</v>
      </c>
      <c r="E212" t="str">
        <f>"009942581203"</f>
        <v>009942581203</v>
      </c>
      <c r="F212" s="3">
        <v>44825</v>
      </c>
      <c r="G212">
        <v>202306</v>
      </c>
      <c r="H212" t="s">
        <v>90</v>
      </c>
      <c r="I212" t="s">
        <v>91</v>
      </c>
      <c r="J212" t="s">
        <v>147</v>
      </c>
      <c r="L212" t="s">
        <v>811</v>
      </c>
      <c r="M212" t="s">
        <v>812</v>
      </c>
      <c r="N212" t="s">
        <v>813</v>
      </c>
      <c r="O212" t="s">
        <v>127</v>
      </c>
      <c r="P212" t="str">
        <f>"186473"</f>
        <v>186473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73.63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15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2.5</v>
      </c>
      <c r="BJ212">
        <v>11.3</v>
      </c>
      <c r="BK212">
        <v>12</v>
      </c>
      <c r="BL212">
        <v>212.63</v>
      </c>
      <c r="BM212">
        <v>31.89</v>
      </c>
      <c r="BN212">
        <v>244.52</v>
      </c>
      <c r="BO212">
        <v>244.52</v>
      </c>
      <c r="BQ212" t="s">
        <v>814</v>
      </c>
      <c r="BR212" t="s">
        <v>150</v>
      </c>
      <c r="BS212" s="3">
        <v>44830</v>
      </c>
      <c r="BT212" s="4">
        <v>0.44513888888888892</v>
      </c>
      <c r="BU212" t="s">
        <v>813</v>
      </c>
      <c r="BV212" t="s">
        <v>84</v>
      </c>
      <c r="BY212">
        <v>56454</v>
      </c>
      <c r="BZ212" t="s">
        <v>205</v>
      </c>
      <c r="CA212" t="s">
        <v>815</v>
      </c>
      <c r="CC212" t="s">
        <v>812</v>
      </c>
      <c r="CD212">
        <v>3170</v>
      </c>
      <c r="CE212" t="s">
        <v>86</v>
      </c>
      <c r="CI212">
        <v>4</v>
      </c>
      <c r="CJ212">
        <v>3</v>
      </c>
      <c r="CK212">
        <v>43</v>
      </c>
    </row>
    <row r="213" spans="1:89" x14ac:dyDescent="0.3">
      <c r="A213" t="s">
        <v>72</v>
      </c>
      <c r="B213" t="s">
        <v>73</v>
      </c>
      <c r="C213" t="s">
        <v>74</v>
      </c>
      <c r="E213" t="str">
        <f>"009942581201"</f>
        <v>009942581201</v>
      </c>
      <c r="F213" s="3">
        <v>44825</v>
      </c>
      <c r="G213">
        <v>202306</v>
      </c>
      <c r="H213" t="s">
        <v>90</v>
      </c>
      <c r="I213" t="s">
        <v>91</v>
      </c>
      <c r="J213" t="s">
        <v>147</v>
      </c>
      <c r="L213" t="s">
        <v>189</v>
      </c>
      <c r="M213" t="s">
        <v>190</v>
      </c>
      <c r="N213" t="s">
        <v>816</v>
      </c>
      <c r="O213" t="s">
        <v>127</v>
      </c>
      <c r="P213" t="str">
        <f>"186465"</f>
        <v>186465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73.63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0.7</v>
      </c>
      <c r="BJ213">
        <v>2.9</v>
      </c>
      <c r="BK213">
        <v>3</v>
      </c>
      <c r="BL213">
        <v>197.63</v>
      </c>
      <c r="BM213">
        <v>29.64</v>
      </c>
      <c r="BN213">
        <v>227.27</v>
      </c>
      <c r="BO213">
        <v>227.27</v>
      </c>
      <c r="BQ213" t="s">
        <v>817</v>
      </c>
      <c r="BR213" t="s">
        <v>150</v>
      </c>
      <c r="BS213" s="3">
        <v>44827</v>
      </c>
      <c r="BT213" s="4">
        <v>0.41944444444444445</v>
      </c>
      <c r="BU213" t="s">
        <v>818</v>
      </c>
      <c r="BV213" t="s">
        <v>84</v>
      </c>
      <c r="BY213">
        <v>14295.88</v>
      </c>
      <c r="BZ213" t="s">
        <v>111</v>
      </c>
      <c r="CA213" t="s">
        <v>630</v>
      </c>
      <c r="CC213" t="s">
        <v>190</v>
      </c>
      <c r="CD213">
        <v>250</v>
      </c>
      <c r="CE213" t="s">
        <v>86</v>
      </c>
      <c r="CI213">
        <v>4</v>
      </c>
      <c r="CJ213">
        <v>2</v>
      </c>
      <c r="CK213">
        <v>43</v>
      </c>
    </row>
    <row r="214" spans="1:89" x14ac:dyDescent="0.3">
      <c r="A214" t="s">
        <v>72</v>
      </c>
      <c r="B214" t="s">
        <v>73</v>
      </c>
      <c r="C214" t="s">
        <v>74</v>
      </c>
      <c r="E214" t="str">
        <f>"009942581202"</f>
        <v>009942581202</v>
      </c>
      <c r="F214" s="3">
        <v>44825</v>
      </c>
      <c r="G214">
        <v>202306</v>
      </c>
      <c r="H214" t="s">
        <v>90</v>
      </c>
      <c r="I214" t="s">
        <v>91</v>
      </c>
      <c r="J214" t="s">
        <v>147</v>
      </c>
      <c r="L214" t="s">
        <v>207</v>
      </c>
      <c r="M214" t="s">
        <v>208</v>
      </c>
      <c r="N214" t="s">
        <v>819</v>
      </c>
      <c r="O214" t="s">
        <v>127</v>
      </c>
      <c r="P214" t="str">
        <f>"186467"</f>
        <v>186467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52.2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0.3</v>
      </c>
      <c r="BJ214">
        <v>0.8</v>
      </c>
      <c r="BK214">
        <v>1</v>
      </c>
      <c r="BL214">
        <v>141.65</v>
      </c>
      <c r="BM214">
        <v>21.25</v>
      </c>
      <c r="BN214">
        <v>162.9</v>
      </c>
      <c r="BO214">
        <v>162.9</v>
      </c>
      <c r="BR214" t="s">
        <v>150</v>
      </c>
      <c r="BS214" s="3">
        <v>44827</v>
      </c>
      <c r="BT214" s="4">
        <v>0.33263888888888887</v>
      </c>
      <c r="BU214" t="s">
        <v>820</v>
      </c>
      <c r="BV214" t="s">
        <v>84</v>
      </c>
      <c r="BY214">
        <v>3931.2</v>
      </c>
      <c r="BZ214" t="s">
        <v>111</v>
      </c>
      <c r="CA214" t="s">
        <v>579</v>
      </c>
      <c r="CC214" t="s">
        <v>208</v>
      </c>
      <c r="CD214">
        <v>2194</v>
      </c>
      <c r="CE214" t="s">
        <v>86</v>
      </c>
      <c r="CI214">
        <v>3</v>
      </c>
      <c r="CJ214">
        <v>2</v>
      </c>
      <c r="CK214">
        <v>41</v>
      </c>
    </row>
    <row r="215" spans="1:89" x14ac:dyDescent="0.3">
      <c r="A215" t="s">
        <v>72</v>
      </c>
      <c r="B215" t="s">
        <v>73</v>
      </c>
      <c r="C215" t="s">
        <v>74</v>
      </c>
      <c r="E215" t="str">
        <f>"009942581204"</f>
        <v>009942581204</v>
      </c>
      <c r="F215" s="3">
        <v>44825</v>
      </c>
      <c r="G215">
        <v>202306</v>
      </c>
      <c r="H215" t="s">
        <v>90</v>
      </c>
      <c r="I215" t="s">
        <v>91</v>
      </c>
      <c r="J215" t="s">
        <v>147</v>
      </c>
      <c r="L215" t="s">
        <v>75</v>
      </c>
      <c r="M215" t="s">
        <v>76</v>
      </c>
      <c r="N215" t="s">
        <v>821</v>
      </c>
      <c r="O215" t="s">
        <v>127</v>
      </c>
      <c r="P215" t="str">
        <f>"21421"</f>
        <v>21421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52.2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0.2</v>
      </c>
      <c r="BJ215">
        <v>0.7</v>
      </c>
      <c r="BK215">
        <v>1</v>
      </c>
      <c r="BL215">
        <v>141.65</v>
      </c>
      <c r="BM215">
        <v>21.25</v>
      </c>
      <c r="BN215">
        <v>162.9</v>
      </c>
      <c r="BO215">
        <v>162.9</v>
      </c>
      <c r="BR215" t="s">
        <v>150</v>
      </c>
      <c r="BS215" s="3">
        <v>44827</v>
      </c>
      <c r="BT215" s="4">
        <v>0.39652777777777781</v>
      </c>
      <c r="BU215" t="s">
        <v>821</v>
      </c>
      <c r="BV215" t="s">
        <v>84</v>
      </c>
      <c r="BY215">
        <v>3324.42</v>
      </c>
      <c r="BZ215" t="s">
        <v>111</v>
      </c>
      <c r="CA215" t="s">
        <v>822</v>
      </c>
      <c r="CC215" t="s">
        <v>76</v>
      </c>
      <c r="CD215">
        <v>1724</v>
      </c>
      <c r="CE215" t="s">
        <v>86</v>
      </c>
      <c r="CI215">
        <v>3</v>
      </c>
      <c r="CJ215">
        <v>2</v>
      </c>
      <c r="CK215">
        <v>41</v>
      </c>
    </row>
    <row r="216" spans="1:89" x14ac:dyDescent="0.3">
      <c r="A216" t="s">
        <v>72</v>
      </c>
      <c r="B216" t="s">
        <v>73</v>
      </c>
      <c r="C216" t="s">
        <v>74</v>
      </c>
      <c r="E216" t="str">
        <f>"009942278737"</f>
        <v>009942278737</v>
      </c>
      <c r="F216" s="3">
        <v>44825</v>
      </c>
      <c r="G216">
        <v>202306</v>
      </c>
      <c r="H216" t="s">
        <v>101</v>
      </c>
      <c r="I216" t="s">
        <v>102</v>
      </c>
      <c r="J216" t="s">
        <v>173</v>
      </c>
      <c r="L216" t="s">
        <v>87</v>
      </c>
      <c r="M216" t="s">
        <v>88</v>
      </c>
      <c r="N216" t="s">
        <v>89</v>
      </c>
      <c r="O216" t="s">
        <v>81</v>
      </c>
      <c r="P216" t="str">
        <f>""</f>
        <v/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26.99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</v>
      </c>
      <c r="BJ216">
        <v>0.5</v>
      </c>
      <c r="BK216">
        <v>1</v>
      </c>
      <c r="BL216">
        <v>70.53</v>
      </c>
      <c r="BM216">
        <v>10.58</v>
      </c>
      <c r="BN216">
        <v>81.11</v>
      </c>
      <c r="BO216">
        <v>81.11</v>
      </c>
      <c r="BQ216" t="s">
        <v>708</v>
      </c>
      <c r="BR216" t="s">
        <v>176</v>
      </c>
      <c r="BS216" s="3">
        <v>44826</v>
      </c>
      <c r="BT216" s="4">
        <v>0.38819444444444445</v>
      </c>
      <c r="BU216" t="s">
        <v>823</v>
      </c>
      <c r="BV216" t="s">
        <v>84</v>
      </c>
      <c r="BY216">
        <v>2420</v>
      </c>
      <c r="BZ216" t="s">
        <v>116</v>
      </c>
      <c r="CA216" t="s">
        <v>435</v>
      </c>
      <c r="CC216" t="s">
        <v>88</v>
      </c>
      <c r="CD216">
        <v>1620</v>
      </c>
      <c r="CE216" t="s">
        <v>86</v>
      </c>
      <c r="CI216">
        <v>1</v>
      </c>
      <c r="CJ216">
        <v>1</v>
      </c>
      <c r="CK216">
        <v>21</v>
      </c>
    </row>
    <row r="217" spans="1:89" x14ac:dyDescent="0.3">
      <c r="A217" t="s">
        <v>72</v>
      </c>
      <c r="B217" t="s">
        <v>73</v>
      </c>
      <c r="C217" t="s">
        <v>74</v>
      </c>
      <c r="E217" t="str">
        <f>"009942278740"</f>
        <v>009942278740</v>
      </c>
      <c r="F217" s="3">
        <v>44825</v>
      </c>
      <c r="G217">
        <v>202306</v>
      </c>
      <c r="H217" t="s">
        <v>90</v>
      </c>
      <c r="I217" t="s">
        <v>91</v>
      </c>
      <c r="J217" t="s">
        <v>824</v>
      </c>
      <c r="L217" t="s">
        <v>90</v>
      </c>
      <c r="M217" t="s">
        <v>91</v>
      </c>
      <c r="N217" t="s">
        <v>825</v>
      </c>
      <c r="O217" t="s">
        <v>81</v>
      </c>
      <c r="P217" t="str">
        <f>""</f>
        <v/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21.09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0.2</v>
      </c>
      <c r="BJ217">
        <v>3.1</v>
      </c>
      <c r="BK217">
        <v>3.5</v>
      </c>
      <c r="BL217">
        <v>55.1</v>
      </c>
      <c r="BM217">
        <v>8.27</v>
      </c>
      <c r="BN217">
        <v>63.37</v>
      </c>
      <c r="BO217">
        <v>63.37</v>
      </c>
      <c r="BQ217" t="s">
        <v>265</v>
      </c>
      <c r="BR217" t="s">
        <v>788</v>
      </c>
      <c r="BS217" t="s">
        <v>197</v>
      </c>
      <c r="BY217">
        <v>15304.86</v>
      </c>
      <c r="BZ217" t="s">
        <v>116</v>
      </c>
      <c r="CC217" t="s">
        <v>91</v>
      </c>
      <c r="CD217">
        <v>7945</v>
      </c>
      <c r="CE217" t="s">
        <v>86</v>
      </c>
      <c r="CI217">
        <v>1</v>
      </c>
      <c r="CJ217" t="s">
        <v>197</v>
      </c>
      <c r="CK217">
        <v>22</v>
      </c>
    </row>
    <row r="218" spans="1:89" x14ac:dyDescent="0.3">
      <c r="A218" t="s">
        <v>72</v>
      </c>
      <c r="B218" t="s">
        <v>73</v>
      </c>
      <c r="C218" t="s">
        <v>74</v>
      </c>
      <c r="E218" t="str">
        <f>"009942883227"</f>
        <v>009942883227</v>
      </c>
      <c r="F218" s="3">
        <v>44825</v>
      </c>
      <c r="G218">
        <v>202306</v>
      </c>
      <c r="H218" t="s">
        <v>87</v>
      </c>
      <c r="I218" t="s">
        <v>88</v>
      </c>
      <c r="J218" t="s">
        <v>89</v>
      </c>
      <c r="L218" t="s">
        <v>194</v>
      </c>
      <c r="M218" t="s">
        <v>195</v>
      </c>
      <c r="N218" t="s">
        <v>826</v>
      </c>
      <c r="O218" t="s">
        <v>81</v>
      </c>
      <c r="P218" t="str">
        <f>"19174"</f>
        <v>19174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170.63</v>
      </c>
      <c r="AH218">
        <v>0</v>
      </c>
      <c r="AI218">
        <v>0</v>
      </c>
      <c r="AJ218">
        <v>0</v>
      </c>
      <c r="AK218">
        <v>26.99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1.8</v>
      </c>
      <c r="BJ218">
        <v>0.6</v>
      </c>
      <c r="BK218">
        <v>2</v>
      </c>
      <c r="BL218">
        <v>241.16</v>
      </c>
      <c r="BM218">
        <v>36.17</v>
      </c>
      <c r="BN218">
        <v>277.33</v>
      </c>
      <c r="BO218">
        <v>277.33</v>
      </c>
      <c r="BQ218" t="s">
        <v>827</v>
      </c>
      <c r="BR218" t="s">
        <v>175</v>
      </c>
      <c r="BS218" s="3">
        <v>44826</v>
      </c>
      <c r="BT218" s="4">
        <v>0.33680555555555558</v>
      </c>
      <c r="BU218" t="s">
        <v>828</v>
      </c>
      <c r="BV218" t="s">
        <v>84</v>
      </c>
      <c r="BY218">
        <v>3047.76</v>
      </c>
      <c r="BZ218" t="s">
        <v>829</v>
      </c>
      <c r="CA218" t="s">
        <v>830</v>
      </c>
      <c r="CC218" t="s">
        <v>195</v>
      </c>
      <c r="CD218">
        <v>9300</v>
      </c>
      <c r="CE218" t="s">
        <v>86</v>
      </c>
      <c r="CI218">
        <v>1</v>
      </c>
      <c r="CJ218">
        <v>1</v>
      </c>
      <c r="CK218">
        <v>21</v>
      </c>
    </row>
    <row r="219" spans="1:89" x14ac:dyDescent="0.3">
      <c r="A219" t="s">
        <v>72</v>
      </c>
      <c r="B219" t="s">
        <v>73</v>
      </c>
      <c r="C219" t="s">
        <v>74</v>
      </c>
      <c r="E219" t="str">
        <f>"009942883228"</f>
        <v>009942883228</v>
      </c>
      <c r="F219" s="3">
        <v>44825</v>
      </c>
      <c r="G219">
        <v>202306</v>
      </c>
      <c r="H219" t="s">
        <v>87</v>
      </c>
      <c r="I219" t="s">
        <v>88</v>
      </c>
      <c r="J219" t="s">
        <v>89</v>
      </c>
      <c r="L219" t="s">
        <v>831</v>
      </c>
      <c r="M219" t="s">
        <v>832</v>
      </c>
      <c r="N219" t="s">
        <v>493</v>
      </c>
      <c r="O219" t="s">
        <v>81</v>
      </c>
      <c r="P219" t="str">
        <f>"J27457"</f>
        <v>J27457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134.97999999999999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3.4</v>
      </c>
      <c r="BJ219">
        <v>5.2</v>
      </c>
      <c r="BK219">
        <v>5.5</v>
      </c>
      <c r="BL219">
        <v>352.69</v>
      </c>
      <c r="BM219">
        <v>52.9</v>
      </c>
      <c r="BN219">
        <v>405.59</v>
      </c>
      <c r="BO219">
        <v>405.59</v>
      </c>
      <c r="BQ219" t="s">
        <v>833</v>
      </c>
      <c r="BR219" t="s">
        <v>82</v>
      </c>
      <c r="BS219" s="3">
        <v>44827</v>
      </c>
      <c r="BT219" s="4">
        <v>0.58333333333333337</v>
      </c>
      <c r="BU219" t="s">
        <v>834</v>
      </c>
      <c r="BV219" t="s">
        <v>97</v>
      </c>
      <c r="BY219">
        <v>26161.200000000001</v>
      </c>
      <c r="BZ219" t="s">
        <v>116</v>
      </c>
      <c r="CC219" t="s">
        <v>832</v>
      </c>
      <c r="CD219">
        <v>2380</v>
      </c>
      <c r="CE219" t="s">
        <v>86</v>
      </c>
      <c r="CI219">
        <v>1</v>
      </c>
      <c r="CJ219">
        <v>2</v>
      </c>
      <c r="CK219">
        <v>23</v>
      </c>
    </row>
    <row r="220" spans="1:89" x14ac:dyDescent="0.3">
      <c r="A220" t="s">
        <v>72</v>
      </c>
      <c r="B220" t="s">
        <v>73</v>
      </c>
      <c r="C220" t="s">
        <v>74</v>
      </c>
      <c r="E220" t="str">
        <f>"009942883231"</f>
        <v>009942883231</v>
      </c>
      <c r="F220" s="3">
        <v>44825</v>
      </c>
      <c r="G220">
        <v>202306</v>
      </c>
      <c r="H220" t="s">
        <v>87</v>
      </c>
      <c r="I220" t="s">
        <v>88</v>
      </c>
      <c r="J220" t="s">
        <v>89</v>
      </c>
      <c r="L220" t="s">
        <v>657</v>
      </c>
      <c r="M220" t="s">
        <v>658</v>
      </c>
      <c r="N220" t="s">
        <v>835</v>
      </c>
      <c r="O220" t="s">
        <v>81</v>
      </c>
      <c r="P220" t="str">
        <f>"J27294"</f>
        <v>J27294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37.97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1.2</v>
      </c>
      <c r="BJ220">
        <v>0.4</v>
      </c>
      <c r="BK220">
        <v>1.5</v>
      </c>
      <c r="BL220">
        <v>99.21</v>
      </c>
      <c r="BM220">
        <v>14.88</v>
      </c>
      <c r="BN220">
        <v>114.09</v>
      </c>
      <c r="BO220">
        <v>114.09</v>
      </c>
      <c r="BQ220" t="s">
        <v>836</v>
      </c>
      <c r="BR220" t="s">
        <v>82</v>
      </c>
      <c r="BS220" s="3">
        <v>44826</v>
      </c>
      <c r="BT220" s="4">
        <v>0.42222222222222222</v>
      </c>
      <c r="BU220" t="s">
        <v>791</v>
      </c>
      <c r="BV220" t="s">
        <v>84</v>
      </c>
      <c r="BY220">
        <v>2030.82</v>
      </c>
      <c r="BZ220" t="s">
        <v>116</v>
      </c>
      <c r="CC220" t="s">
        <v>658</v>
      </c>
      <c r="CD220">
        <v>1441</v>
      </c>
      <c r="CE220" t="s">
        <v>86</v>
      </c>
      <c r="CI220">
        <v>1</v>
      </c>
      <c r="CJ220">
        <v>1</v>
      </c>
      <c r="CK220">
        <v>24</v>
      </c>
    </row>
    <row r="221" spans="1:89" x14ac:dyDescent="0.3">
      <c r="A221" t="s">
        <v>72</v>
      </c>
      <c r="B221" t="s">
        <v>73</v>
      </c>
      <c r="C221" t="s">
        <v>74</v>
      </c>
      <c r="E221" t="str">
        <f>"009942883232"</f>
        <v>009942883232</v>
      </c>
      <c r="F221" s="3">
        <v>44825</v>
      </c>
      <c r="G221">
        <v>202306</v>
      </c>
      <c r="H221" t="s">
        <v>87</v>
      </c>
      <c r="I221" t="s">
        <v>88</v>
      </c>
      <c r="J221" t="s">
        <v>89</v>
      </c>
      <c r="L221" t="s">
        <v>75</v>
      </c>
      <c r="M221" t="s">
        <v>76</v>
      </c>
      <c r="N221" t="s">
        <v>446</v>
      </c>
      <c r="O221" t="s">
        <v>81</v>
      </c>
      <c r="P221" t="str">
        <f>"J27588"</f>
        <v>J27588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21.09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3</v>
      </c>
      <c r="BJ221">
        <v>3.6</v>
      </c>
      <c r="BK221">
        <v>4</v>
      </c>
      <c r="BL221">
        <v>55.1</v>
      </c>
      <c r="BM221">
        <v>8.27</v>
      </c>
      <c r="BN221">
        <v>63.37</v>
      </c>
      <c r="BO221">
        <v>63.37</v>
      </c>
      <c r="BR221" t="s">
        <v>82</v>
      </c>
      <c r="BS221" s="3">
        <v>44826</v>
      </c>
      <c r="BT221" s="4">
        <v>0.40763888888888888</v>
      </c>
      <c r="BU221" t="s">
        <v>837</v>
      </c>
      <c r="BV221" t="s">
        <v>84</v>
      </c>
      <c r="BY221">
        <v>18000</v>
      </c>
      <c r="BZ221" t="s">
        <v>116</v>
      </c>
      <c r="CA221" t="s">
        <v>450</v>
      </c>
      <c r="CC221" t="s">
        <v>76</v>
      </c>
      <c r="CD221">
        <v>2000</v>
      </c>
      <c r="CE221" t="s">
        <v>86</v>
      </c>
      <c r="CI221">
        <v>1</v>
      </c>
      <c r="CJ221">
        <v>1</v>
      </c>
      <c r="CK221">
        <v>22</v>
      </c>
    </row>
    <row r="222" spans="1:89" x14ac:dyDescent="0.3">
      <c r="A222" t="s">
        <v>72</v>
      </c>
      <c r="B222" t="s">
        <v>73</v>
      </c>
      <c r="C222" t="s">
        <v>74</v>
      </c>
      <c r="E222" t="str">
        <f>"009942612711"</f>
        <v>009942612711</v>
      </c>
      <c r="F222" s="3">
        <v>44807</v>
      </c>
      <c r="G222">
        <v>202306</v>
      </c>
      <c r="H222" t="s">
        <v>75</v>
      </c>
      <c r="I222" t="s">
        <v>76</v>
      </c>
      <c r="J222" t="s">
        <v>838</v>
      </c>
      <c r="L222" t="s">
        <v>90</v>
      </c>
      <c r="M222" t="s">
        <v>91</v>
      </c>
      <c r="N222" t="s">
        <v>839</v>
      </c>
      <c r="O222" t="s">
        <v>93</v>
      </c>
      <c r="P222" t="str">
        <f>"PAQ17624812"</f>
        <v>PAQ17624812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455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403.14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5</v>
      </c>
      <c r="BJ222">
        <v>2.4</v>
      </c>
      <c r="BK222">
        <v>5</v>
      </c>
      <c r="BL222">
        <v>966.96</v>
      </c>
      <c r="BM222">
        <v>145.04</v>
      </c>
      <c r="BN222">
        <v>1112</v>
      </c>
      <c r="BO222">
        <v>1112</v>
      </c>
      <c r="BQ222" t="s">
        <v>148</v>
      </c>
      <c r="BR222" t="s">
        <v>840</v>
      </c>
      <c r="BS222" s="3">
        <v>44811</v>
      </c>
      <c r="BT222" s="4">
        <v>0.46388888888888885</v>
      </c>
      <c r="BU222" t="s">
        <v>841</v>
      </c>
      <c r="BV222" t="s">
        <v>97</v>
      </c>
      <c r="BY222">
        <v>12000</v>
      </c>
      <c r="BZ222" t="s">
        <v>98</v>
      </c>
      <c r="CC222" t="s">
        <v>91</v>
      </c>
      <c r="CD222">
        <v>8005</v>
      </c>
      <c r="CE222" t="s">
        <v>86</v>
      </c>
      <c r="CI222">
        <v>0</v>
      </c>
      <c r="CJ222">
        <v>4</v>
      </c>
      <c r="CK222">
        <v>21</v>
      </c>
    </row>
    <row r="223" spans="1:89" x14ac:dyDescent="0.3">
      <c r="A223" t="s">
        <v>72</v>
      </c>
      <c r="B223" t="s">
        <v>73</v>
      </c>
      <c r="C223" t="s">
        <v>74</v>
      </c>
      <c r="E223" t="str">
        <f>"009942883233"</f>
        <v>009942883233</v>
      </c>
      <c r="F223" s="3">
        <v>44825</v>
      </c>
      <c r="G223">
        <v>202306</v>
      </c>
      <c r="H223" t="s">
        <v>87</v>
      </c>
      <c r="I223" t="s">
        <v>88</v>
      </c>
      <c r="J223" t="s">
        <v>89</v>
      </c>
      <c r="L223" t="s">
        <v>226</v>
      </c>
      <c r="M223" t="s">
        <v>227</v>
      </c>
      <c r="N223" t="s">
        <v>842</v>
      </c>
      <c r="O223" t="s">
        <v>81</v>
      </c>
      <c r="P223" t="str">
        <f>"JNX0218450941"</f>
        <v>JNX0218450941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21.09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0.2</v>
      </c>
      <c r="BJ223">
        <v>1.2</v>
      </c>
      <c r="BK223">
        <v>1.5</v>
      </c>
      <c r="BL223">
        <v>55.1</v>
      </c>
      <c r="BM223">
        <v>8.27</v>
      </c>
      <c r="BN223">
        <v>63.37</v>
      </c>
      <c r="BO223">
        <v>63.37</v>
      </c>
      <c r="BQ223" t="s">
        <v>843</v>
      </c>
      <c r="BR223" t="s">
        <v>82</v>
      </c>
      <c r="BS223" s="3">
        <v>44826</v>
      </c>
      <c r="BT223" s="4">
        <v>0.4069444444444445</v>
      </c>
      <c r="BU223" t="s">
        <v>844</v>
      </c>
      <c r="BV223" t="s">
        <v>84</v>
      </c>
      <c r="BY223">
        <v>5788.16</v>
      </c>
      <c r="BZ223" t="s">
        <v>116</v>
      </c>
      <c r="CA223" t="s">
        <v>690</v>
      </c>
      <c r="CC223" t="s">
        <v>227</v>
      </c>
      <c r="CD223">
        <v>1459</v>
      </c>
      <c r="CE223" t="s">
        <v>86</v>
      </c>
      <c r="CI223">
        <v>1</v>
      </c>
      <c r="CJ223">
        <v>1</v>
      </c>
      <c r="CK223">
        <v>22</v>
      </c>
    </row>
    <row r="224" spans="1:89" x14ac:dyDescent="0.3">
      <c r="A224" t="s">
        <v>72</v>
      </c>
      <c r="B224" t="s">
        <v>73</v>
      </c>
      <c r="C224" t="s">
        <v>74</v>
      </c>
      <c r="E224" t="str">
        <f>"009942883224"</f>
        <v>009942883224</v>
      </c>
      <c r="F224" s="3">
        <v>44826</v>
      </c>
      <c r="G224">
        <v>202306</v>
      </c>
      <c r="H224" t="s">
        <v>87</v>
      </c>
      <c r="I224" t="s">
        <v>88</v>
      </c>
      <c r="J224" t="s">
        <v>414</v>
      </c>
      <c r="L224" t="s">
        <v>288</v>
      </c>
      <c r="M224" t="s">
        <v>289</v>
      </c>
      <c r="N224" t="s">
        <v>845</v>
      </c>
      <c r="O224" t="s">
        <v>81</v>
      </c>
      <c r="P224" t="str">
        <f>"J27842"</f>
        <v>J27842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21.09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2.2000000000000002</v>
      </c>
      <c r="BJ224">
        <v>2.5</v>
      </c>
      <c r="BK224">
        <v>2.5</v>
      </c>
      <c r="BL224">
        <v>55.1</v>
      </c>
      <c r="BM224">
        <v>8.27</v>
      </c>
      <c r="BN224">
        <v>63.37</v>
      </c>
      <c r="BO224">
        <v>63.37</v>
      </c>
      <c r="BQ224" t="s">
        <v>846</v>
      </c>
      <c r="BR224" t="s">
        <v>82</v>
      </c>
      <c r="BS224" s="3">
        <v>44827</v>
      </c>
      <c r="BT224" s="4">
        <v>0.33402777777777781</v>
      </c>
      <c r="BU224" t="s">
        <v>847</v>
      </c>
      <c r="BV224" t="s">
        <v>84</v>
      </c>
      <c r="BY224">
        <v>12416.32</v>
      </c>
      <c r="BZ224" t="s">
        <v>116</v>
      </c>
      <c r="CA224" t="s">
        <v>848</v>
      </c>
      <c r="CC224" t="s">
        <v>289</v>
      </c>
      <c r="CD224">
        <v>1559</v>
      </c>
      <c r="CE224" t="s">
        <v>86</v>
      </c>
      <c r="CI224">
        <v>1</v>
      </c>
      <c r="CJ224">
        <v>1</v>
      </c>
      <c r="CK224">
        <v>22</v>
      </c>
    </row>
    <row r="225" spans="1:89" x14ac:dyDescent="0.3">
      <c r="A225" t="s">
        <v>72</v>
      </c>
      <c r="B225" t="s">
        <v>73</v>
      </c>
      <c r="C225" t="s">
        <v>74</v>
      </c>
      <c r="E225" t="str">
        <f>"009942883225"</f>
        <v>009942883225</v>
      </c>
      <c r="F225" s="3">
        <v>44826</v>
      </c>
      <c r="G225">
        <v>202306</v>
      </c>
      <c r="H225" t="s">
        <v>87</v>
      </c>
      <c r="I225" t="s">
        <v>88</v>
      </c>
      <c r="J225" t="s">
        <v>414</v>
      </c>
      <c r="L225" t="s">
        <v>118</v>
      </c>
      <c r="M225" t="s">
        <v>119</v>
      </c>
      <c r="N225" t="s">
        <v>677</v>
      </c>
      <c r="O225" t="s">
        <v>81</v>
      </c>
      <c r="P225" t="str">
        <f>"J27838"</f>
        <v>J27838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26.99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0.2</v>
      </c>
      <c r="BJ225">
        <v>0.5</v>
      </c>
      <c r="BK225">
        <v>0.5</v>
      </c>
      <c r="BL225">
        <v>70.53</v>
      </c>
      <c r="BM225">
        <v>10.58</v>
      </c>
      <c r="BN225">
        <v>81.11</v>
      </c>
      <c r="BO225">
        <v>81.11</v>
      </c>
      <c r="BQ225" t="s">
        <v>678</v>
      </c>
      <c r="BR225" t="s">
        <v>82</v>
      </c>
      <c r="BS225" s="3">
        <v>44827</v>
      </c>
      <c r="BT225" s="4">
        <v>0.42569444444444443</v>
      </c>
      <c r="BU225" t="s">
        <v>679</v>
      </c>
      <c r="BV225" t="s">
        <v>84</v>
      </c>
      <c r="BY225">
        <v>2403.5</v>
      </c>
      <c r="BZ225" t="s">
        <v>116</v>
      </c>
      <c r="CA225" t="s">
        <v>680</v>
      </c>
      <c r="CC225" t="s">
        <v>119</v>
      </c>
      <c r="CD225">
        <v>62</v>
      </c>
      <c r="CE225" t="s">
        <v>86</v>
      </c>
      <c r="CI225">
        <v>1</v>
      </c>
      <c r="CJ225">
        <v>1</v>
      </c>
      <c r="CK225">
        <v>21</v>
      </c>
    </row>
    <row r="226" spans="1:89" x14ac:dyDescent="0.3">
      <c r="A226" t="s">
        <v>72</v>
      </c>
      <c r="B226" t="s">
        <v>73</v>
      </c>
      <c r="C226" t="s">
        <v>74</v>
      </c>
      <c r="E226" t="str">
        <f>"009942883234"</f>
        <v>009942883234</v>
      </c>
      <c r="F226" s="3">
        <v>44826</v>
      </c>
      <c r="G226">
        <v>202306</v>
      </c>
      <c r="H226" t="s">
        <v>87</v>
      </c>
      <c r="I226" t="s">
        <v>88</v>
      </c>
      <c r="J226" t="s">
        <v>414</v>
      </c>
      <c r="L226" t="s">
        <v>90</v>
      </c>
      <c r="M226" t="s">
        <v>91</v>
      </c>
      <c r="N226" t="s">
        <v>89</v>
      </c>
      <c r="O226" t="s">
        <v>81</v>
      </c>
      <c r="P226" t="str">
        <f>"1044"</f>
        <v>1044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26.99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0.2</v>
      </c>
      <c r="BJ226">
        <v>0.3</v>
      </c>
      <c r="BK226">
        <v>0.5</v>
      </c>
      <c r="BL226">
        <v>70.53</v>
      </c>
      <c r="BM226">
        <v>10.58</v>
      </c>
      <c r="BN226">
        <v>81.11</v>
      </c>
      <c r="BO226">
        <v>81.11</v>
      </c>
      <c r="BQ226" t="s">
        <v>109</v>
      </c>
      <c r="BR226" t="s">
        <v>82</v>
      </c>
      <c r="BS226" s="3">
        <v>44827</v>
      </c>
      <c r="BT226" s="4">
        <v>0.39583333333333331</v>
      </c>
      <c r="BU226" t="s">
        <v>283</v>
      </c>
      <c r="BV226" t="s">
        <v>84</v>
      </c>
      <c r="BY226">
        <v>1599.05</v>
      </c>
      <c r="BZ226" t="s">
        <v>116</v>
      </c>
      <c r="CA226" t="s">
        <v>284</v>
      </c>
      <c r="CC226" t="s">
        <v>91</v>
      </c>
      <c r="CD226">
        <v>7530</v>
      </c>
      <c r="CE226" t="s">
        <v>86</v>
      </c>
      <c r="CI226">
        <v>1</v>
      </c>
      <c r="CJ226">
        <v>1</v>
      </c>
      <c r="CK226">
        <v>21</v>
      </c>
    </row>
    <row r="227" spans="1:89" x14ac:dyDescent="0.3">
      <c r="A227" t="s">
        <v>72</v>
      </c>
      <c r="B227" t="s">
        <v>73</v>
      </c>
      <c r="C227" t="s">
        <v>74</v>
      </c>
      <c r="E227" t="str">
        <f>"009942883226"</f>
        <v>009942883226</v>
      </c>
      <c r="F227" s="3">
        <v>44826</v>
      </c>
      <c r="G227">
        <v>202306</v>
      </c>
      <c r="H227" t="s">
        <v>87</v>
      </c>
      <c r="I227" t="s">
        <v>88</v>
      </c>
      <c r="J227" t="s">
        <v>414</v>
      </c>
      <c r="L227" t="s">
        <v>112</v>
      </c>
      <c r="M227" t="s">
        <v>113</v>
      </c>
      <c r="N227" t="s">
        <v>114</v>
      </c>
      <c r="O227" t="s">
        <v>81</v>
      </c>
      <c r="P227" t="str">
        <f>"J27829"</f>
        <v>J27829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37.97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0.2</v>
      </c>
      <c r="BJ227">
        <v>0.5</v>
      </c>
      <c r="BK227">
        <v>0.5</v>
      </c>
      <c r="BL227">
        <v>99.21</v>
      </c>
      <c r="BM227">
        <v>14.88</v>
      </c>
      <c r="BN227">
        <v>114.09</v>
      </c>
      <c r="BO227">
        <v>114.09</v>
      </c>
      <c r="BQ227" t="s">
        <v>849</v>
      </c>
      <c r="BR227" t="s">
        <v>82</v>
      </c>
      <c r="BS227" s="3">
        <v>44827</v>
      </c>
      <c r="BT227" s="4">
        <v>0.61805555555555558</v>
      </c>
      <c r="BU227" t="s">
        <v>850</v>
      </c>
      <c r="BV227" t="s">
        <v>97</v>
      </c>
      <c r="BY227">
        <v>2415</v>
      </c>
      <c r="BZ227" t="s">
        <v>116</v>
      </c>
      <c r="CC227" t="s">
        <v>113</v>
      </c>
      <c r="CD227">
        <v>1900</v>
      </c>
      <c r="CE227" t="s">
        <v>86</v>
      </c>
      <c r="CI227">
        <v>1</v>
      </c>
      <c r="CJ227">
        <v>1</v>
      </c>
      <c r="CK227">
        <v>24</v>
      </c>
    </row>
    <row r="228" spans="1:89" x14ac:dyDescent="0.3">
      <c r="A228" t="s">
        <v>72</v>
      </c>
      <c r="B228" t="s">
        <v>73</v>
      </c>
      <c r="C228" t="s">
        <v>74</v>
      </c>
      <c r="E228" t="str">
        <f>"009942885534"</f>
        <v>009942885534</v>
      </c>
      <c r="F228" s="3">
        <v>44826</v>
      </c>
      <c r="G228">
        <v>202306</v>
      </c>
      <c r="H228" t="s">
        <v>87</v>
      </c>
      <c r="I228" t="s">
        <v>88</v>
      </c>
      <c r="J228" t="s">
        <v>414</v>
      </c>
      <c r="L228" t="s">
        <v>101</v>
      </c>
      <c r="M228" t="s">
        <v>102</v>
      </c>
      <c r="N228" t="s">
        <v>173</v>
      </c>
      <c r="O228" t="s">
        <v>81</v>
      </c>
      <c r="P228" t="str">
        <f>"10246 45"</f>
        <v>10246 45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26.99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0.9</v>
      </c>
      <c r="BJ228">
        <v>1.6</v>
      </c>
      <c r="BK228">
        <v>2</v>
      </c>
      <c r="BL228">
        <v>70.53</v>
      </c>
      <c r="BM228">
        <v>10.58</v>
      </c>
      <c r="BN228">
        <v>81.11</v>
      </c>
      <c r="BO228">
        <v>81.11</v>
      </c>
      <c r="BQ228" t="s">
        <v>176</v>
      </c>
      <c r="BR228" t="s">
        <v>175</v>
      </c>
      <c r="BS228" s="3">
        <v>44827</v>
      </c>
      <c r="BT228" s="4">
        <v>0.37708333333333338</v>
      </c>
      <c r="BU228" t="s">
        <v>267</v>
      </c>
      <c r="BV228" t="s">
        <v>84</v>
      </c>
      <c r="BY228">
        <v>7943.68</v>
      </c>
      <c r="BZ228" t="s">
        <v>116</v>
      </c>
      <c r="CA228" t="s">
        <v>146</v>
      </c>
      <c r="CC228" t="s">
        <v>102</v>
      </c>
      <c r="CD228">
        <v>6070</v>
      </c>
      <c r="CE228" t="s">
        <v>86</v>
      </c>
      <c r="CI228">
        <v>1</v>
      </c>
      <c r="CJ228">
        <v>1</v>
      </c>
      <c r="CK228">
        <v>21</v>
      </c>
    </row>
    <row r="229" spans="1:89" x14ac:dyDescent="0.3">
      <c r="A229" t="s">
        <v>72</v>
      </c>
      <c r="B229" t="s">
        <v>73</v>
      </c>
      <c r="C229" t="s">
        <v>74</v>
      </c>
      <c r="E229" t="str">
        <f>"009942581209"</f>
        <v>009942581209</v>
      </c>
      <c r="F229" s="3">
        <v>44826</v>
      </c>
      <c r="G229">
        <v>202306</v>
      </c>
      <c r="H229" t="s">
        <v>90</v>
      </c>
      <c r="I229" t="s">
        <v>91</v>
      </c>
      <c r="J229" t="s">
        <v>147</v>
      </c>
      <c r="L229" t="s">
        <v>178</v>
      </c>
      <c r="M229" t="s">
        <v>179</v>
      </c>
      <c r="N229" t="s">
        <v>851</v>
      </c>
      <c r="O229" t="s">
        <v>127</v>
      </c>
      <c r="P229" t="str">
        <f>"INV186517"</f>
        <v>INV186517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52.2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0.2</v>
      </c>
      <c r="BJ229">
        <v>0.9</v>
      </c>
      <c r="BK229">
        <v>1</v>
      </c>
      <c r="BL229">
        <v>141.65</v>
      </c>
      <c r="BM229">
        <v>21.25</v>
      </c>
      <c r="BN229">
        <v>162.9</v>
      </c>
      <c r="BO229">
        <v>162.9</v>
      </c>
      <c r="BP229" t="s">
        <v>852</v>
      </c>
      <c r="BQ229" t="s">
        <v>853</v>
      </c>
      <c r="BR229" t="s">
        <v>150</v>
      </c>
      <c r="BS229" s="3">
        <v>44830</v>
      </c>
      <c r="BT229" s="4">
        <v>0.4777777777777778</v>
      </c>
      <c r="BU229" t="s">
        <v>854</v>
      </c>
      <c r="BV229" t="s">
        <v>84</v>
      </c>
      <c r="BY229">
        <v>4498.83</v>
      </c>
      <c r="BZ229" t="s">
        <v>111</v>
      </c>
      <c r="CA229" t="s">
        <v>855</v>
      </c>
      <c r="CC229" t="s">
        <v>179</v>
      </c>
      <c r="CD229">
        <v>4000</v>
      </c>
      <c r="CE229" t="s">
        <v>86</v>
      </c>
      <c r="CI229">
        <v>3</v>
      </c>
      <c r="CJ229">
        <v>2</v>
      </c>
      <c r="CK229">
        <v>41</v>
      </c>
    </row>
    <row r="230" spans="1:89" x14ac:dyDescent="0.3">
      <c r="A230" t="s">
        <v>72</v>
      </c>
      <c r="B230" t="s">
        <v>73</v>
      </c>
      <c r="C230" t="s">
        <v>74</v>
      </c>
      <c r="E230" t="str">
        <f>"009942581208"</f>
        <v>009942581208</v>
      </c>
      <c r="F230" s="3">
        <v>44826</v>
      </c>
      <c r="G230">
        <v>202306</v>
      </c>
      <c r="H230" t="s">
        <v>90</v>
      </c>
      <c r="I230" t="s">
        <v>91</v>
      </c>
      <c r="J230" t="s">
        <v>147</v>
      </c>
      <c r="L230" t="s">
        <v>90</v>
      </c>
      <c r="M230" t="s">
        <v>91</v>
      </c>
      <c r="N230" t="s">
        <v>856</v>
      </c>
      <c r="O230" t="s">
        <v>127</v>
      </c>
      <c r="P230" t="str">
        <f>"INV186509"</f>
        <v>INV186509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40.28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0.3</v>
      </c>
      <c r="BJ230">
        <v>0.8</v>
      </c>
      <c r="BK230">
        <v>1</v>
      </c>
      <c r="BL230">
        <v>110.5</v>
      </c>
      <c r="BM230">
        <v>16.579999999999998</v>
      </c>
      <c r="BN230">
        <v>127.08</v>
      </c>
      <c r="BO230">
        <v>127.08</v>
      </c>
      <c r="BQ230" t="s">
        <v>857</v>
      </c>
      <c r="BR230" t="s">
        <v>150</v>
      </c>
      <c r="BS230" s="3">
        <v>44827</v>
      </c>
      <c r="BT230" s="4">
        <v>0.42708333333333331</v>
      </c>
      <c r="BU230" t="s">
        <v>858</v>
      </c>
      <c r="BV230" t="s">
        <v>84</v>
      </c>
      <c r="BY230">
        <v>3801.75</v>
      </c>
      <c r="BZ230" t="s">
        <v>111</v>
      </c>
      <c r="CA230" t="s">
        <v>859</v>
      </c>
      <c r="CC230" t="s">
        <v>91</v>
      </c>
      <c r="CD230">
        <v>7580</v>
      </c>
      <c r="CE230" t="s">
        <v>86</v>
      </c>
      <c r="CI230">
        <v>3</v>
      </c>
      <c r="CJ230">
        <v>1</v>
      </c>
      <c r="CK230">
        <v>42</v>
      </c>
    </row>
    <row r="231" spans="1:89" x14ac:dyDescent="0.3">
      <c r="A231" t="s">
        <v>72</v>
      </c>
      <c r="B231" t="s">
        <v>73</v>
      </c>
      <c r="C231" t="s">
        <v>74</v>
      </c>
      <c r="E231" t="str">
        <f>"009942581206"</f>
        <v>009942581206</v>
      </c>
      <c r="F231" s="3">
        <v>44826</v>
      </c>
      <c r="G231">
        <v>202306</v>
      </c>
      <c r="H231" t="s">
        <v>90</v>
      </c>
      <c r="I231" t="s">
        <v>91</v>
      </c>
      <c r="J231" t="s">
        <v>147</v>
      </c>
      <c r="L231" t="s">
        <v>271</v>
      </c>
      <c r="M231" t="s">
        <v>272</v>
      </c>
      <c r="N231" t="s">
        <v>860</v>
      </c>
      <c r="O231" t="s">
        <v>127</v>
      </c>
      <c r="P231" t="str">
        <f>"INV186505"</f>
        <v>INV186505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52.2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0.4</v>
      </c>
      <c r="BJ231">
        <v>0.7</v>
      </c>
      <c r="BK231">
        <v>1</v>
      </c>
      <c r="BL231">
        <v>141.65</v>
      </c>
      <c r="BM231">
        <v>21.25</v>
      </c>
      <c r="BN231">
        <v>162.9</v>
      </c>
      <c r="BO231">
        <v>162.9</v>
      </c>
      <c r="BQ231" t="s">
        <v>861</v>
      </c>
      <c r="BR231" t="s">
        <v>150</v>
      </c>
      <c r="BS231" s="3">
        <v>44830</v>
      </c>
      <c r="BT231" s="4">
        <v>0.51874999999999993</v>
      </c>
      <c r="BU231" t="s">
        <v>862</v>
      </c>
      <c r="BV231" t="s">
        <v>84</v>
      </c>
      <c r="BY231">
        <v>3741</v>
      </c>
      <c r="BZ231" t="s">
        <v>111</v>
      </c>
      <c r="CA231" t="s">
        <v>863</v>
      </c>
      <c r="CC231" t="s">
        <v>272</v>
      </c>
      <c r="CD231">
        <v>1450</v>
      </c>
      <c r="CE231" t="s">
        <v>86</v>
      </c>
      <c r="CI231">
        <v>3</v>
      </c>
      <c r="CJ231">
        <v>2</v>
      </c>
      <c r="CK231">
        <v>41</v>
      </c>
    </row>
    <row r="232" spans="1:89" x14ac:dyDescent="0.3">
      <c r="A232" t="s">
        <v>72</v>
      </c>
      <c r="B232" t="s">
        <v>73</v>
      </c>
      <c r="C232" t="s">
        <v>74</v>
      </c>
      <c r="E232" t="str">
        <f>"009942581205"</f>
        <v>009942581205</v>
      </c>
      <c r="F232" s="3">
        <v>44826</v>
      </c>
      <c r="G232">
        <v>202306</v>
      </c>
      <c r="H232" t="s">
        <v>90</v>
      </c>
      <c r="I232" t="s">
        <v>91</v>
      </c>
      <c r="J232" t="s">
        <v>147</v>
      </c>
      <c r="L232" t="s">
        <v>237</v>
      </c>
      <c r="M232" t="s">
        <v>238</v>
      </c>
      <c r="N232" t="s">
        <v>148</v>
      </c>
      <c r="O232" t="s">
        <v>127</v>
      </c>
      <c r="P232" t="str">
        <f>"INV186502"</f>
        <v>INV186502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52.2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0.2</v>
      </c>
      <c r="BJ232">
        <v>1</v>
      </c>
      <c r="BK232">
        <v>1</v>
      </c>
      <c r="BL232">
        <v>141.65</v>
      </c>
      <c r="BM232">
        <v>21.25</v>
      </c>
      <c r="BN232">
        <v>162.9</v>
      </c>
      <c r="BO232">
        <v>162.9</v>
      </c>
      <c r="BQ232" t="s">
        <v>864</v>
      </c>
      <c r="BR232" t="s">
        <v>150</v>
      </c>
      <c r="BS232" s="3">
        <v>44830</v>
      </c>
      <c r="BT232" s="4">
        <v>0.50138888888888888</v>
      </c>
      <c r="BU232" t="s">
        <v>865</v>
      </c>
      <c r="BV232" t="s">
        <v>84</v>
      </c>
      <c r="BY232">
        <v>4826.3</v>
      </c>
      <c r="BZ232" t="s">
        <v>111</v>
      </c>
      <c r="CA232" t="s">
        <v>726</v>
      </c>
      <c r="CC232" t="s">
        <v>238</v>
      </c>
      <c r="CD232">
        <v>1725</v>
      </c>
      <c r="CE232" t="s">
        <v>86</v>
      </c>
      <c r="CI232">
        <v>3</v>
      </c>
      <c r="CJ232">
        <v>2</v>
      </c>
      <c r="CK232">
        <v>41</v>
      </c>
    </row>
    <row r="233" spans="1:89" x14ac:dyDescent="0.3">
      <c r="A233" t="s">
        <v>72</v>
      </c>
      <c r="B233" t="s">
        <v>73</v>
      </c>
      <c r="C233" t="s">
        <v>74</v>
      </c>
      <c r="E233" t="str">
        <f>"009942278739"</f>
        <v>009942278739</v>
      </c>
      <c r="F233" s="3">
        <v>44826</v>
      </c>
      <c r="G233">
        <v>202306</v>
      </c>
      <c r="H233" t="s">
        <v>90</v>
      </c>
      <c r="I233" t="s">
        <v>91</v>
      </c>
      <c r="J233" t="s">
        <v>143</v>
      </c>
      <c r="L233" t="s">
        <v>87</v>
      </c>
      <c r="M233" t="s">
        <v>88</v>
      </c>
      <c r="N233" t="s">
        <v>866</v>
      </c>
      <c r="O233" t="s">
        <v>107</v>
      </c>
      <c r="P233" t="str">
        <f>""</f>
        <v/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50.62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0.5</v>
      </c>
      <c r="BJ233">
        <v>0.2</v>
      </c>
      <c r="BK233">
        <v>1</v>
      </c>
      <c r="BL233">
        <v>132.26</v>
      </c>
      <c r="BM233">
        <v>19.84</v>
      </c>
      <c r="BN233">
        <v>152.1</v>
      </c>
      <c r="BO233">
        <v>152.1</v>
      </c>
      <c r="BQ233" t="s">
        <v>867</v>
      </c>
      <c r="BR233" t="s">
        <v>109</v>
      </c>
      <c r="BS233" s="3">
        <v>44827</v>
      </c>
      <c r="BT233" s="4">
        <v>0.39652777777777781</v>
      </c>
      <c r="BU233" t="s">
        <v>868</v>
      </c>
      <c r="BV233" t="s">
        <v>84</v>
      </c>
      <c r="BY233">
        <v>1200</v>
      </c>
      <c r="BZ233" t="s">
        <v>111</v>
      </c>
      <c r="CA233" t="s">
        <v>435</v>
      </c>
      <c r="CC233" t="s">
        <v>88</v>
      </c>
      <c r="CD233">
        <v>1619</v>
      </c>
      <c r="CE233" t="s">
        <v>86</v>
      </c>
      <c r="CI233">
        <v>1</v>
      </c>
      <c r="CJ233">
        <v>1</v>
      </c>
      <c r="CK233">
        <v>31</v>
      </c>
    </row>
    <row r="234" spans="1:89" x14ac:dyDescent="0.3">
      <c r="A234" t="s">
        <v>72</v>
      </c>
      <c r="B234" t="s">
        <v>73</v>
      </c>
      <c r="C234" t="s">
        <v>74</v>
      </c>
      <c r="E234" t="str">
        <f>"009942381186"</f>
        <v>009942381186</v>
      </c>
      <c r="F234" s="3">
        <v>44826</v>
      </c>
      <c r="G234">
        <v>202306</v>
      </c>
      <c r="H234" t="s">
        <v>90</v>
      </c>
      <c r="I234" t="s">
        <v>91</v>
      </c>
      <c r="J234" t="s">
        <v>89</v>
      </c>
      <c r="L234" t="s">
        <v>99</v>
      </c>
      <c r="M234" t="s">
        <v>100</v>
      </c>
      <c r="N234" t="s">
        <v>89</v>
      </c>
      <c r="O234" t="s">
        <v>107</v>
      </c>
      <c r="P234" t="str">
        <f>""</f>
        <v/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50.62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0.7</v>
      </c>
      <c r="BJ234">
        <v>0.9</v>
      </c>
      <c r="BK234">
        <v>1</v>
      </c>
      <c r="BL234">
        <v>132.26</v>
      </c>
      <c r="BM234">
        <v>19.84</v>
      </c>
      <c r="BN234">
        <v>152.1</v>
      </c>
      <c r="BO234">
        <v>152.1</v>
      </c>
      <c r="BQ234" t="s">
        <v>265</v>
      </c>
      <c r="BR234" t="s">
        <v>109</v>
      </c>
      <c r="BS234" s="3">
        <v>44830</v>
      </c>
      <c r="BT234" s="4">
        <v>0.42569444444444443</v>
      </c>
      <c r="BU234" t="s">
        <v>869</v>
      </c>
      <c r="BV234" t="s">
        <v>97</v>
      </c>
      <c r="BY234">
        <v>4289.3599999999997</v>
      </c>
      <c r="BZ234" t="s">
        <v>111</v>
      </c>
      <c r="CA234" t="s">
        <v>870</v>
      </c>
      <c r="CC234" t="s">
        <v>100</v>
      </c>
      <c r="CD234">
        <v>3610</v>
      </c>
      <c r="CE234" t="s">
        <v>86</v>
      </c>
      <c r="CI234">
        <v>1</v>
      </c>
      <c r="CJ234">
        <v>2</v>
      </c>
      <c r="CK234">
        <v>31</v>
      </c>
    </row>
    <row r="235" spans="1:89" x14ac:dyDescent="0.3">
      <c r="A235" t="s">
        <v>72</v>
      </c>
      <c r="B235" t="s">
        <v>73</v>
      </c>
      <c r="C235" t="s">
        <v>74</v>
      </c>
      <c r="E235" t="str">
        <f>"009942278738"</f>
        <v>009942278738</v>
      </c>
      <c r="F235" s="3">
        <v>44826</v>
      </c>
      <c r="G235">
        <v>202306</v>
      </c>
      <c r="H235" t="s">
        <v>90</v>
      </c>
      <c r="I235" t="s">
        <v>91</v>
      </c>
      <c r="J235" t="s">
        <v>89</v>
      </c>
      <c r="L235" t="s">
        <v>87</v>
      </c>
      <c r="M235" t="s">
        <v>88</v>
      </c>
      <c r="N235" t="s">
        <v>89</v>
      </c>
      <c r="O235" t="s">
        <v>81</v>
      </c>
      <c r="P235" t="str">
        <f>"10073"</f>
        <v>10073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26.99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1.9</v>
      </c>
      <c r="BJ235">
        <v>1.2</v>
      </c>
      <c r="BK235">
        <v>2</v>
      </c>
      <c r="BL235">
        <v>70.53</v>
      </c>
      <c r="BM235">
        <v>10.58</v>
      </c>
      <c r="BN235">
        <v>81.11</v>
      </c>
      <c r="BO235">
        <v>81.11</v>
      </c>
      <c r="BQ235" t="s">
        <v>871</v>
      </c>
      <c r="BR235" t="s">
        <v>109</v>
      </c>
      <c r="BS235" s="3">
        <v>44827</v>
      </c>
      <c r="BT235" s="4">
        <v>0.39652777777777781</v>
      </c>
      <c r="BU235" t="s">
        <v>868</v>
      </c>
      <c r="BV235" t="s">
        <v>84</v>
      </c>
      <c r="BY235">
        <v>6082.35</v>
      </c>
      <c r="BZ235" t="s">
        <v>116</v>
      </c>
      <c r="CA235" t="s">
        <v>435</v>
      </c>
      <c r="CC235" t="s">
        <v>88</v>
      </c>
      <c r="CD235">
        <v>1619</v>
      </c>
      <c r="CE235" t="s">
        <v>86</v>
      </c>
      <c r="CI235">
        <v>1</v>
      </c>
      <c r="CJ235">
        <v>1</v>
      </c>
      <c r="CK235">
        <v>21</v>
      </c>
    </row>
    <row r="236" spans="1:89" x14ac:dyDescent="0.3">
      <c r="A236" t="s">
        <v>72</v>
      </c>
      <c r="B236" t="s">
        <v>73</v>
      </c>
      <c r="C236" t="s">
        <v>74</v>
      </c>
      <c r="E236" t="str">
        <f>"009941643443"</f>
        <v>009941643443</v>
      </c>
      <c r="F236" s="3">
        <v>44827</v>
      </c>
      <c r="G236">
        <v>202306</v>
      </c>
      <c r="H236" t="s">
        <v>189</v>
      </c>
      <c r="I236" t="s">
        <v>190</v>
      </c>
      <c r="J236" t="s">
        <v>514</v>
      </c>
      <c r="L236" t="s">
        <v>90</v>
      </c>
      <c r="M236" t="s">
        <v>91</v>
      </c>
      <c r="N236" t="s">
        <v>872</v>
      </c>
      <c r="O236" t="s">
        <v>127</v>
      </c>
      <c r="P236" t="str">
        <f>"RBG0219600019"</f>
        <v>RBG0219600019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73.63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2</v>
      </c>
      <c r="BI236">
        <v>2</v>
      </c>
      <c r="BJ236">
        <v>2.4</v>
      </c>
      <c r="BK236">
        <v>3</v>
      </c>
      <c r="BL236">
        <v>197.63</v>
      </c>
      <c r="BM236">
        <v>29.64</v>
      </c>
      <c r="BN236">
        <v>227.27</v>
      </c>
      <c r="BO236">
        <v>227.27</v>
      </c>
      <c r="BR236" t="s">
        <v>191</v>
      </c>
      <c r="BS236" s="3">
        <v>44830</v>
      </c>
      <c r="BT236" s="4">
        <v>0.41666666666666669</v>
      </c>
      <c r="BU236" t="s">
        <v>873</v>
      </c>
      <c r="BV236" t="s">
        <v>84</v>
      </c>
      <c r="BY236">
        <v>6000</v>
      </c>
      <c r="BZ236" t="s">
        <v>111</v>
      </c>
      <c r="CC236" t="s">
        <v>91</v>
      </c>
      <c r="CD236">
        <v>7945</v>
      </c>
      <c r="CE236" t="s">
        <v>86</v>
      </c>
      <c r="CI236">
        <v>3</v>
      </c>
      <c r="CJ236">
        <v>1</v>
      </c>
      <c r="CK236">
        <v>43</v>
      </c>
    </row>
    <row r="237" spans="1:89" x14ac:dyDescent="0.3">
      <c r="A237" t="s">
        <v>72</v>
      </c>
      <c r="B237" t="s">
        <v>73</v>
      </c>
      <c r="C237" t="s">
        <v>74</v>
      </c>
      <c r="E237" t="str">
        <f>"009942581217"</f>
        <v>009942581217</v>
      </c>
      <c r="F237" s="3">
        <v>44827</v>
      </c>
      <c r="G237">
        <v>202306</v>
      </c>
      <c r="H237" t="s">
        <v>90</v>
      </c>
      <c r="I237" t="s">
        <v>91</v>
      </c>
      <c r="J237" t="s">
        <v>147</v>
      </c>
      <c r="L237" t="s">
        <v>499</v>
      </c>
      <c r="M237" t="s">
        <v>500</v>
      </c>
      <c r="N237" t="s">
        <v>148</v>
      </c>
      <c r="O237" t="s">
        <v>127</v>
      </c>
      <c r="P237" t="str">
        <f>"INV186556"</f>
        <v>INV186556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57.65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0.2</v>
      </c>
      <c r="BJ237">
        <v>1</v>
      </c>
      <c r="BK237">
        <v>1</v>
      </c>
      <c r="BL237">
        <v>155.88999999999999</v>
      </c>
      <c r="BM237">
        <v>23.38</v>
      </c>
      <c r="BN237">
        <v>179.27</v>
      </c>
      <c r="BO237">
        <v>179.27</v>
      </c>
      <c r="BQ237" t="s">
        <v>874</v>
      </c>
      <c r="BR237" t="s">
        <v>150</v>
      </c>
      <c r="BS237" s="3">
        <v>44830</v>
      </c>
      <c r="BT237" s="4">
        <v>0.62638888888888888</v>
      </c>
      <c r="BU237" t="s">
        <v>875</v>
      </c>
      <c r="BV237" t="s">
        <v>84</v>
      </c>
      <c r="BY237">
        <v>4911.1899999999996</v>
      </c>
      <c r="BZ237" t="s">
        <v>111</v>
      </c>
      <c r="CA237" t="s">
        <v>236</v>
      </c>
      <c r="CC237" t="s">
        <v>500</v>
      </c>
      <c r="CD237">
        <v>7130</v>
      </c>
      <c r="CE237" t="s">
        <v>86</v>
      </c>
      <c r="CI237">
        <v>4</v>
      </c>
      <c r="CJ237">
        <v>1</v>
      </c>
      <c r="CK237">
        <v>44</v>
      </c>
    </row>
    <row r="238" spans="1:89" x14ac:dyDescent="0.3">
      <c r="A238" t="s">
        <v>72</v>
      </c>
      <c r="B238" t="s">
        <v>73</v>
      </c>
      <c r="C238" t="s">
        <v>74</v>
      </c>
      <c r="E238" t="str">
        <f>"009942581216"</f>
        <v>009942581216</v>
      </c>
      <c r="F238" s="3">
        <v>44827</v>
      </c>
      <c r="G238">
        <v>202306</v>
      </c>
      <c r="H238" t="s">
        <v>90</v>
      </c>
      <c r="I238" t="s">
        <v>91</v>
      </c>
      <c r="J238" t="s">
        <v>147</v>
      </c>
      <c r="L238" t="s">
        <v>876</v>
      </c>
      <c r="M238" t="s">
        <v>877</v>
      </c>
      <c r="N238" t="s">
        <v>148</v>
      </c>
      <c r="O238" t="s">
        <v>127</v>
      </c>
      <c r="P238" t="str">
        <f>"INV186558"</f>
        <v>INV186558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52.2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0.2</v>
      </c>
      <c r="BJ238">
        <v>0.8</v>
      </c>
      <c r="BK238">
        <v>1</v>
      </c>
      <c r="BL238">
        <v>141.65</v>
      </c>
      <c r="BM238">
        <v>21.25</v>
      </c>
      <c r="BN238">
        <v>162.9</v>
      </c>
      <c r="BO238">
        <v>162.9</v>
      </c>
      <c r="BQ238" t="s">
        <v>878</v>
      </c>
      <c r="BR238" t="s">
        <v>150</v>
      </c>
      <c r="BS238" s="3">
        <v>44830</v>
      </c>
      <c r="BT238" s="4">
        <v>0.39166666666666666</v>
      </c>
      <c r="BU238" t="s">
        <v>879</v>
      </c>
      <c r="BV238" t="s">
        <v>84</v>
      </c>
      <c r="BY238">
        <v>4138.5</v>
      </c>
      <c r="BZ238" t="s">
        <v>111</v>
      </c>
      <c r="CA238" t="s">
        <v>880</v>
      </c>
      <c r="CC238" t="s">
        <v>877</v>
      </c>
      <c r="CD238">
        <v>1500</v>
      </c>
      <c r="CE238" t="s">
        <v>86</v>
      </c>
      <c r="CI238">
        <v>3</v>
      </c>
      <c r="CJ238">
        <v>1</v>
      </c>
      <c r="CK238">
        <v>41</v>
      </c>
    </row>
    <row r="239" spans="1:89" x14ac:dyDescent="0.3">
      <c r="A239" t="s">
        <v>72</v>
      </c>
      <c r="B239" t="s">
        <v>73</v>
      </c>
      <c r="C239" t="s">
        <v>74</v>
      </c>
      <c r="E239" t="str">
        <f>"009942581215"</f>
        <v>009942581215</v>
      </c>
      <c r="F239" s="3">
        <v>44827</v>
      </c>
      <c r="G239">
        <v>202306</v>
      </c>
      <c r="H239" t="s">
        <v>90</v>
      </c>
      <c r="I239" t="s">
        <v>91</v>
      </c>
      <c r="J239" t="s">
        <v>147</v>
      </c>
      <c r="L239" t="s">
        <v>178</v>
      </c>
      <c r="M239" t="s">
        <v>179</v>
      </c>
      <c r="N239" t="s">
        <v>148</v>
      </c>
      <c r="O239" t="s">
        <v>127</v>
      </c>
      <c r="P239" t="str">
        <f>"INV186559"</f>
        <v>INV186559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52.2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0.2</v>
      </c>
      <c r="BJ239">
        <v>0.6</v>
      </c>
      <c r="BK239">
        <v>1</v>
      </c>
      <c r="BL239">
        <v>141.65</v>
      </c>
      <c r="BM239">
        <v>21.25</v>
      </c>
      <c r="BN239">
        <v>162.9</v>
      </c>
      <c r="BO239">
        <v>162.9</v>
      </c>
      <c r="BQ239" t="s">
        <v>881</v>
      </c>
      <c r="BR239" t="s">
        <v>150</v>
      </c>
      <c r="BS239" s="3">
        <v>44830</v>
      </c>
      <c r="BT239" s="4">
        <v>0.41319444444444442</v>
      </c>
      <c r="BU239" t="s">
        <v>882</v>
      </c>
      <c r="BV239" t="s">
        <v>84</v>
      </c>
      <c r="BY239">
        <v>3004.05</v>
      </c>
      <c r="BZ239" t="s">
        <v>111</v>
      </c>
      <c r="CA239" t="s">
        <v>718</v>
      </c>
      <c r="CC239" t="s">
        <v>179</v>
      </c>
      <c r="CD239">
        <v>4092</v>
      </c>
      <c r="CE239" t="s">
        <v>86</v>
      </c>
      <c r="CI239">
        <v>4</v>
      </c>
      <c r="CJ239">
        <v>1</v>
      </c>
      <c r="CK239">
        <v>41</v>
      </c>
    </row>
    <row r="240" spans="1:89" x14ac:dyDescent="0.3">
      <c r="A240" t="s">
        <v>72</v>
      </c>
      <c r="B240" t="s">
        <v>73</v>
      </c>
      <c r="C240" t="s">
        <v>74</v>
      </c>
      <c r="E240" t="str">
        <f>"009942581212"</f>
        <v>009942581212</v>
      </c>
      <c r="F240" s="3">
        <v>44827</v>
      </c>
      <c r="G240">
        <v>202306</v>
      </c>
      <c r="H240" t="s">
        <v>90</v>
      </c>
      <c r="I240" t="s">
        <v>91</v>
      </c>
      <c r="J240" t="s">
        <v>147</v>
      </c>
      <c r="L240" t="s">
        <v>90</v>
      </c>
      <c r="M240" t="s">
        <v>91</v>
      </c>
      <c r="N240" t="s">
        <v>148</v>
      </c>
      <c r="O240" t="s">
        <v>127</v>
      </c>
      <c r="P240" t="str">
        <f>"INV186569"</f>
        <v>INV186569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40.28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2.7</v>
      </c>
      <c r="BJ240">
        <v>11.3</v>
      </c>
      <c r="BK240">
        <v>12</v>
      </c>
      <c r="BL240">
        <v>110.5</v>
      </c>
      <c r="BM240">
        <v>16.579999999999998</v>
      </c>
      <c r="BN240">
        <v>127.08</v>
      </c>
      <c r="BO240">
        <v>127.08</v>
      </c>
      <c r="BP240" t="s">
        <v>883</v>
      </c>
      <c r="BQ240" t="s">
        <v>884</v>
      </c>
      <c r="BR240" t="s">
        <v>150</v>
      </c>
      <c r="BS240" t="s">
        <v>197</v>
      </c>
      <c r="BY240">
        <v>56448</v>
      </c>
      <c r="BZ240" t="s">
        <v>111</v>
      </c>
      <c r="CC240" t="s">
        <v>91</v>
      </c>
      <c r="CD240">
        <v>8001</v>
      </c>
      <c r="CE240" t="s">
        <v>86</v>
      </c>
      <c r="CI240">
        <v>3</v>
      </c>
      <c r="CJ240" t="s">
        <v>197</v>
      </c>
      <c r="CK240">
        <v>42</v>
      </c>
    </row>
    <row r="241" spans="1:89" x14ac:dyDescent="0.3">
      <c r="A241" t="s">
        <v>72</v>
      </c>
      <c r="B241" t="s">
        <v>73</v>
      </c>
      <c r="C241" t="s">
        <v>74</v>
      </c>
      <c r="E241" t="str">
        <f>"009942581210"</f>
        <v>009942581210</v>
      </c>
      <c r="F241" s="3">
        <v>44827</v>
      </c>
      <c r="G241">
        <v>202306</v>
      </c>
      <c r="H241" t="s">
        <v>90</v>
      </c>
      <c r="I241" t="s">
        <v>91</v>
      </c>
      <c r="J241" t="s">
        <v>147</v>
      </c>
      <c r="L241" t="s">
        <v>220</v>
      </c>
      <c r="M241" t="s">
        <v>221</v>
      </c>
      <c r="N241" t="s">
        <v>148</v>
      </c>
      <c r="O241" t="s">
        <v>107</v>
      </c>
      <c r="P241" t="str">
        <f>"INV186574"</f>
        <v>INV186574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50.62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0.6</v>
      </c>
      <c r="BJ241">
        <v>2.2999999999999998</v>
      </c>
      <c r="BK241">
        <v>3</v>
      </c>
      <c r="BL241">
        <v>132.26</v>
      </c>
      <c r="BM241">
        <v>19.84</v>
      </c>
      <c r="BN241">
        <v>152.1</v>
      </c>
      <c r="BO241">
        <v>152.1</v>
      </c>
      <c r="BQ241" t="s">
        <v>269</v>
      </c>
      <c r="BR241" t="s">
        <v>150</v>
      </c>
      <c r="BS241" s="3">
        <v>44833</v>
      </c>
      <c r="BT241" s="4">
        <v>0.49861111111111112</v>
      </c>
      <c r="BU241" t="s">
        <v>885</v>
      </c>
      <c r="BV241" t="s">
        <v>97</v>
      </c>
      <c r="BY241">
        <v>11733.26</v>
      </c>
      <c r="BZ241" t="s">
        <v>111</v>
      </c>
      <c r="CA241" t="s">
        <v>585</v>
      </c>
      <c r="CC241" t="s">
        <v>221</v>
      </c>
      <c r="CD241">
        <v>1400</v>
      </c>
      <c r="CE241" t="s">
        <v>86</v>
      </c>
      <c r="CI241">
        <v>1</v>
      </c>
      <c r="CJ241">
        <v>4</v>
      </c>
      <c r="CK241">
        <v>31</v>
      </c>
    </row>
    <row r="242" spans="1:89" x14ac:dyDescent="0.3">
      <c r="A242" t="s">
        <v>72</v>
      </c>
      <c r="B242" t="s">
        <v>73</v>
      </c>
      <c r="C242" t="s">
        <v>74</v>
      </c>
      <c r="E242" t="str">
        <f>"009942581214"</f>
        <v>009942581214</v>
      </c>
      <c r="F242" s="3">
        <v>44827</v>
      </c>
      <c r="G242">
        <v>202306</v>
      </c>
      <c r="H242" t="s">
        <v>90</v>
      </c>
      <c r="I242" t="s">
        <v>91</v>
      </c>
      <c r="J242" t="s">
        <v>147</v>
      </c>
      <c r="L242" t="s">
        <v>157</v>
      </c>
      <c r="M242" t="s">
        <v>158</v>
      </c>
      <c r="N242" t="s">
        <v>148</v>
      </c>
      <c r="O242" t="s">
        <v>127</v>
      </c>
      <c r="P242" t="str">
        <f>"INV186561"</f>
        <v>INV186561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65.16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4.2</v>
      </c>
      <c r="BJ242">
        <v>19.600000000000001</v>
      </c>
      <c r="BK242">
        <v>20</v>
      </c>
      <c r="BL242">
        <v>175.5</v>
      </c>
      <c r="BM242">
        <v>26.33</v>
      </c>
      <c r="BN242">
        <v>201.83</v>
      </c>
      <c r="BO242">
        <v>201.83</v>
      </c>
      <c r="BQ242" t="s">
        <v>886</v>
      </c>
      <c r="BR242" t="s">
        <v>150</v>
      </c>
      <c r="BS242" s="3">
        <v>44832</v>
      </c>
      <c r="BT242" s="4">
        <v>0.68958333333333333</v>
      </c>
      <c r="BU242" t="s">
        <v>887</v>
      </c>
      <c r="BV242" t="s">
        <v>97</v>
      </c>
      <c r="BY242">
        <v>98122.08</v>
      </c>
      <c r="BZ242" t="s">
        <v>111</v>
      </c>
      <c r="CA242" t="s">
        <v>162</v>
      </c>
      <c r="CC242" t="s">
        <v>158</v>
      </c>
      <c r="CD242">
        <v>7210</v>
      </c>
      <c r="CE242" t="s">
        <v>86</v>
      </c>
      <c r="CI242">
        <v>4</v>
      </c>
      <c r="CJ242">
        <v>3</v>
      </c>
      <c r="CK242">
        <v>44</v>
      </c>
    </row>
    <row r="243" spans="1:89" x14ac:dyDescent="0.3">
      <c r="A243" t="s">
        <v>72</v>
      </c>
      <c r="B243" t="s">
        <v>73</v>
      </c>
      <c r="C243" t="s">
        <v>74</v>
      </c>
      <c r="E243" t="str">
        <f>"009942581211"</f>
        <v>009942581211</v>
      </c>
      <c r="F243" s="3">
        <v>44827</v>
      </c>
      <c r="G243">
        <v>202306</v>
      </c>
      <c r="H243" t="s">
        <v>90</v>
      </c>
      <c r="I243" t="s">
        <v>91</v>
      </c>
      <c r="J243" t="s">
        <v>147</v>
      </c>
      <c r="L243" t="s">
        <v>615</v>
      </c>
      <c r="M243" t="s">
        <v>616</v>
      </c>
      <c r="N243" t="s">
        <v>617</v>
      </c>
      <c r="O243" t="s">
        <v>127</v>
      </c>
      <c r="P243" t="str">
        <f>"INV186572"</f>
        <v>INV186572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65.16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3.9</v>
      </c>
      <c r="BJ243">
        <v>19.8</v>
      </c>
      <c r="BK243">
        <v>20</v>
      </c>
      <c r="BL243">
        <v>175.5</v>
      </c>
      <c r="BM243">
        <v>26.33</v>
      </c>
      <c r="BN243">
        <v>201.83</v>
      </c>
      <c r="BO243">
        <v>201.83</v>
      </c>
      <c r="BQ243" t="s">
        <v>888</v>
      </c>
      <c r="BR243" t="s">
        <v>150</v>
      </c>
      <c r="BS243" s="3">
        <v>44830</v>
      </c>
      <c r="BT243" s="4">
        <v>0.79999999999999993</v>
      </c>
      <c r="BU243" t="s">
        <v>617</v>
      </c>
      <c r="BV243" t="s">
        <v>84</v>
      </c>
      <c r="BY243">
        <v>98980.5</v>
      </c>
      <c r="BZ243" t="s">
        <v>111</v>
      </c>
      <c r="CA243" t="s">
        <v>620</v>
      </c>
      <c r="CC243" t="s">
        <v>616</v>
      </c>
      <c r="CD243">
        <v>6705</v>
      </c>
      <c r="CE243" t="s">
        <v>86</v>
      </c>
      <c r="CI243">
        <v>4</v>
      </c>
      <c r="CJ243">
        <v>1</v>
      </c>
      <c r="CK243">
        <v>44</v>
      </c>
    </row>
    <row r="244" spans="1:89" x14ac:dyDescent="0.3">
      <c r="A244" t="s">
        <v>72</v>
      </c>
      <c r="B244" t="s">
        <v>73</v>
      </c>
      <c r="C244" t="s">
        <v>74</v>
      </c>
      <c r="E244" t="str">
        <f>"009942581213"</f>
        <v>009942581213</v>
      </c>
      <c r="F244" s="3">
        <v>44827</v>
      </c>
      <c r="G244">
        <v>202306</v>
      </c>
      <c r="H244" t="s">
        <v>90</v>
      </c>
      <c r="I244" t="s">
        <v>91</v>
      </c>
      <c r="J244" t="s">
        <v>147</v>
      </c>
      <c r="L244" t="s">
        <v>288</v>
      </c>
      <c r="M244" t="s">
        <v>289</v>
      </c>
      <c r="N244" t="s">
        <v>148</v>
      </c>
      <c r="O244" t="s">
        <v>127</v>
      </c>
      <c r="P244" t="str">
        <f>"INV186545"</f>
        <v>INV186545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52.2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1.6</v>
      </c>
      <c r="BJ244">
        <v>6.5</v>
      </c>
      <c r="BK244">
        <v>7</v>
      </c>
      <c r="BL244">
        <v>141.65</v>
      </c>
      <c r="BM244">
        <v>21.25</v>
      </c>
      <c r="BN244">
        <v>162.9</v>
      </c>
      <c r="BO244">
        <v>162.9</v>
      </c>
      <c r="BQ244" t="s">
        <v>889</v>
      </c>
      <c r="BR244" t="s">
        <v>150</v>
      </c>
      <c r="BS244" s="3">
        <v>44830</v>
      </c>
      <c r="BT244" s="4">
        <v>0.28819444444444448</v>
      </c>
      <c r="BU244" t="s">
        <v>890</v>
      </c>
      <c r="BV244" t="s">
        <v>84</v>
      </c>
      <c r="BY244">
        <v>32376</v>
      </c>
      <c r="BZ244" t="s">
        <v>111</v>
      </c>
      <c r="CA244" t="s">
        <v>848</v>
      </c>
      <c r="CC244" t="s">
        <v>289</v>
      </c>
      <c r="CD244">
        <v>1559</v>
      </c>
      <c r="CE244" t="s">
        <v>86</v>
      </c>
      <c r="CI244">
        <v>3</v>
      </c>
      <c r="CJ244">
        <v>1</v>
      </c>
      <c r="CK244">
        <v>41</v>
      </c>
    </row>
    <row r="245" spans="1:89" x14ac:dyDescent="0.3">
      <c r="A245" t="s">
        <v>72</v>
      </c>
      <c r="B245" t="s">
        <v>73</v>
      </c>
      <c r="C245" t="s">
        <v>74</v>
      </c>
      <c r="E245" t="str">
        <f>"009942883219"</f>
        <v>009942883219</v>
      </c>
      <c r="F245" s="3">
        <v>44827</v>
      </c>
      <c r="G245">
        <v>202306</v>
      </c>
      <c r="H245" t="s">
        <v>87</v>
      </c>
      <c r="I245" t="s">
        <v>88</v>
      </c>
      <c r="J245" t="s">
        <v>414</v>
      </c>
      <c r="L245" t="s">
        <v>831</v>
      </c>
      <c r="M245" t="s">
        <v>832</v>
      </c>
      <c r="N245" t="s">
        <v>493</v>
      </c>
      <c r="O245" t="s">
        <v>81</v>
      </c>
      <c r="P245" t="str">
        <f>"J27857"</f>
        <v>J27857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52.3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0.7</v>
      </c>
      <c r="BJ245">
        <v>1.1000000000000001</v>
      </c>
      <c r="BK245">
        <v>1.5</v>
      </c>
      <c r="BL245">
        <v>136.66</v>
      </c>
      <c r="BM245">
        <v>20.5</v>
      </c>
      <c r="BN245">
        <v>157.16</v>
      </c>
      <c r="BO245">
        <v>157.16</v>
      </c>
      <c r="BQ245" t="s">
        <v>891</v>
      </c>
      <c r="BR245" t="s">
        <v>82</v>
      </c>
      <c r="BS245" s="3">
        <v>44831</v>
      </c>
      <c r="BT245" s="4">
        <v>0.67361111111111116</v>
      </c>
      <c r="BU245" t="s">
        <v>892</v>
      </c>
      <c r="BV245" t="s">
        <v>97</v>
      </c>
      <c r="BY245">
        <v>5713.92</v>
      </c>
      <c r="BZ245" t="s">
        <v>116</v>
      </c>
      <c r="CA245" t="s">
        <v>893</v>
      </c>
      <c r="CC245" t="s">
        <v>832</v>
      </c>
      <c r="CD245">
        <v>2380</v>
      </c>
      <c r="CE245" t="s">
        <v>86</v>
      </c>
      <c r="CI245">
        <v>1</v>
      </c>
      <c r="CJ245">
        <v>2</v>
      </c>
      <c r="CK245">
        <v>23</v>
      </c>
    </row>
    <row r="246" spans="1:89" x14ac:dyDescent="0.3">
      <c r="A246" t="s">
        <v>72</v>
      </c>
      <c r="B246" t="s">
        <v>73</v>
      </c>
      <c r="C246" t="s">
        <v>74</v>
      </c>
      <c r="E246" t="str">
        <f>"009942572420"</f>
        <v>009942572420</v>
      </c>
      <c r="F246" s="3">
        <v>44827</v>
      </c>
      <c r="G246">
        <v>202306</v>
      </c>
      <c r="H246" t="s">
        <v>125</v>
      </c>
      <c r="I246" t="s">
        <v>125</v>
      </c>
      <c r="J246" t="s">
        <v>894</v>
      </c>
      <c r="L246" t="s">
        <v>194</v>
      </c>
      <c r="M246" t="s">
        <v>195</v>
      </c>
      <c r="N246" t="s">
        <v>148</v>
      </c>
      <c r="O246" t="s">
        <v>127</v>
      </c>
      <c r="P246" t="str">
        <f>""</f>
        <v/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52.2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3.7</v>
      </c>
      <c r="BJ246">
        <v>5.7</v>
      </c>
      <c r="BK246">
        <v>6</v>
      </c>
      <c r="BL246">
        <v>141.65</v>
      </c>
      <c r="BM246">
        <v>21.25</v>
      </c>
      <c r="BN246">
        <v>162.9</v>
      </c>
      <c r="BO246">
        <v>162.9</v>
      </c>
      <c r="BQ246" t="s">
        <v>895</v>
      </c>
      <c r="BR246">
        <v>215103896</v>
      </c>
      <c r="BS246" s="3">
        <v>44830</v>
      </c>
      <c r="BT246" s="4">
        <v>0.60763888888888895</v>
      </c>
      <c r="BU246" t="s">
        <v>896</v>
      </c>
      <c r="BV246" t="s">
        <v>84</v>
      </c>
      <c r="BY246">
        <v>28724.400000000001</v>
      </c>
      <c r="BZ246" t="s">
        <v>111</v>
      </c>
      <c r="CA246" t="s">
        <v>897</v>
      </c>
      <c r="CC246" t="s">
        <v>195</v>
      </c>
      <c r="CD246">
        <v>9300</v>
      </c>
      <c r="CE246" t="s">
        <v>86</v>
      </c>
      <c r="CI246">
        <v>3</v>
      </c>
      <c r="CJ246">
        <v>1</v>
      </c>
      <c r="CK246">
        <v>41</v>
      </c>
    </row>
    <row r="247" spans="1:89" x14ac:dyDescent="0.3">
      <c r="A247" t="s">
        <v>72</v>
      </c>
      <c r="B247" t="s">
        <v>73</v>
      </c>
      <c r="C247" t="s">
        <v>74</v>
      </c>
      <c r="E247" t="str">
        <f>"009942572421"</f>
        <v>009942572421</v>
      </c>
      <c r="F247" s="3">
        <v>44827</v>
      </c>
      <c r="G247">
        <v>202306</v>
      </c>
      <c r="H247" t="s">
        <v>125</v>
      </c>
      <c r="I247" t="s">
        <v>125</v>
      </c>
      <c r="J247" t="s">
        <v>894</v>
      </c>
      <c r="L247" t="s">
        <v>75</v>
      </c>
      <c r="M247" t="s">
        <v>76</v>
      </c>
      <c r="N247" t="s">
        <v>894</v>
      </c>
      <c r="O247" t="s">
        <v>127</v>
      </c>
      <c r="P247" t="str">
        <f>""</f>
        <v/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82.32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21.8</v>
      </c>
      <c r="BJ247">
        <v>28.9</v>
      </c>
      <c r="BK247">
        <v>29</v>
      </c>
      <c r="BL247">
        <v>220.35</v>
      </c>
      <c r="BM247">
        <v>33.049999999999997</v>
      </c>
      <c r="BN247">
        <v>253.4</v>
      </c>
      <c r="BO247">
        <v>253.4</v>
      </c>
      <c r="BQ247" t="s">
        <v>898</v>
      </c>
      <c r="BR247">
        <v>215103896</v>
      </c>
      <c r="BS247" s="3">
        <v>44830</v>
      </c>
      <c r="BT247" s="4">
        <v>0.62291666666666667</v>
      </c>
      <c r="BU247" t="s">
        <v>899</v>
      </c>
      <c r="BV247" t="s">
        <v>84</v>
      </c>
      <c r="BY247">
        <v>144498.75</v>
      </c>
      <c r="BZ247" t="s">
        <v>111</v>
      </c>
      <c r="CA247" t="s">
        <v>263</v>
      </c>
      <c r="CC247" t="s">
        <v>76</v>
      </c>
      <c r="CD247">
        <v>2000</v>
      </c>
      <c r="CE247" t="s">
        <v>86</v>
      </c>
      <c r="CI247">
        <v>3</v>
      </c>
      <c r="CJ247">
        <v>1</v>
      </c>
      <c r="CK247">
        <v>41</v>
      </c>
    </row>
    <row r="248" spans="1:89" x14ac:dyDescent="0.3">
      <c r="A248" t="s">
        <v>72</v>
      </c>
      <c r="B248" t="s">
        <v>73</v>
      </c>
      <c r="C248" t="s">
        <v>74</v>
      </c>
      <c r="E248" t="str">
        <f>"009942572422"</f>
        <v>009942572422</v>
      </c>
      <c r="F248" s="3">
        <v>44827</v>
      </c>
      <c r="G248">
        <v>202306</v>
      </c>
      <c r="H248" t="s">
        <v>125</v>
      </c>
      <c r="I248" t="s">
        <v>125</v>
      </c>
      <c r="J248" t="s">
        <v>894</v>
      </c>
      <c r="L248" t="s">
        <v>194</v>
      </c>
      <c r="M248" t="s">
        <v>195</v>
      </c>
      <c r="N248" t="s">
        <v>148</v>
      </c>
      <c r="O248" t="s">
        <v>127</v>
      </c>
      <c r="P248" t="str">
        <f>""</f>
        <v/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105.99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39.1</v>
      </c>
      <c r="BJ248">
        <v>21.2</v>
      </c>
      <c r="BK248">
        <v>40</v>
      </c>
      <c r="BL248">
        <v>282.19</v>
      </c>
      <c r="BM248">
        <v>42.33</v>
      </c>
      <c r="BN248">
        <v>324.52</v>
      </c>
      <c r="BO248">
        <v>324.52</v>
      </c>
      <c r="BQ248" t="s">
        <v>900</v>
      </c>
      <c r="BR248">
        <v>215103896</v>
      </c>
      <c r="BS248" s="3">
        <v>44830</v>
      </c>
      <c r="BT248" s="4">
        <v>0.59861111111111109</v>
      </c>
      <c r="BU248" t="s">
        <v>901</v>
      </c>
      <c r="BV248" t="s">
        <v>84</v>
      </c>
      <c r="BY248">
        <v>105830.39999999999</v>
      </c>
      <c r="BZ248" t="s">
        <v>111</v>
      </c>
      <c r="CA248" t="s">
        <v>897</v>
      </c>
      <c r="CC248" t="s">
        <v>195</v>
      </c>
      <c r="CD248">
        <v>9300</v>
      </c>
      <c r="CE248" t="s">
        <v>86</v>
      </c>
      <c r="CI248">
        <v>3</v>
      </c>
      <c r="CJ248">
        <v>1</v>
      </c>
      <c r="CK248">
        <v>41</v>
      </c>
    </row>
    <row r="249" spans="1:89" x14ac:dyDescent="0.3">
      <c r="A249" t="s">
        <v>72</v>
      </c>
      <c r="B249" t="s">
        <v>73</v>
      </c>
      <c r="C249" t="s">
        <v>74</v>
      </c>
      <c r="E249" t="str">
        <f>"009942572423"</f>
        <v>009942572423</v>
      </c>
      <c r="F249" s="3">
        <v>44827</v>
      </c>
      <c r="G249">
        <v>202306</v>
      </c>
      <c r="H249" t="s">
        <v>125</v>
      </c>
      <c r="I249" t="s">
        <v>125</v>
      </c>
      <c r="J249" t="s">
        <v>894</v>
      </c>
      <c r="L249" t="s">
        <v>521</v>
      </c>
      <c r="M249" t="s">
        <v>522</v>
      </c>
      <c r="N249" t="s">
        <v>148</v>
      </c>
      <c r="O249" t="s">
        <v>127</v>
      </c>
      <c r="P249" t="str">
        <f>""</f>
        <v/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73.63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8.6</v>
      </c>
      <c r="BJ249">
        <v>8.4</v>
      </c>
      <c r="BK249">
        <v>9</v>
      </c>
      <c r="BL249">
        <v>197.63</v>
      </c>
      <c r="BM249">
        <v>29.64</v>
      </c>
      <c r="BN249">
        <v>227.27</v>
      </c>
      <c r="BO249">
        <v>227.27</v>
      </c>
      <c r="BQ249" t="s">
        <v>902</v>
      </c>
      <c r="BR249">
        <v>215103896</v>
      </c>
      <c r="BS249" s="3">
        <v>44831</v>
      </c>
      <c r="BT249" s="4">
        <v>0.68680555555555556</v>
      </c>
      <c r="BU249" t="s">
        <v>903</v>
      </c>
      <c r="BV249" t="s">
        <v>84</v>
      </c>
      <c r="BY249">
        <v>42125.94</v>
      </c>
      <c r="BZ249" t="s">
        <v>111</v>
      </c>
      <c r="CA249" t="s">
        <v>525</v>
      </c>
      <c r="CC249" t="s">
        <v>522</v>
      </c>
      <c r="CD249">
        <v>9660</v>
      </c>
      <c r="CE249" t="s">
        <v>86</v>
      </c>
      <c r="CI249">
        <v>4</v>
      </c>
      <c r="CJ249">
        <v>2</v>
      </c>
      <c r="CK249">
        <v>43</v>
      </c>
    </row>
    <row r="250" spans="1:89" x14ac:dyDescent="0.3">
      <c r="A250" t="s">
        <v>72</v>
      </c>
      <c r="B250" t="s">
        <v>73</v>
      </c>
      <c r="C250" t="s">
        <v>74</v>
      </c>
      <c r="E250" t="str">
        <f>"009942572424"</f>
        <v>009942572424</v>
      </c>
      <c r="F250" s="3">
        <v>44827</v>
      </c>
      <c r="G250">
        <v>202306</v>
      </c>
      <c r="H250" t="s">
        <v>125</v>
      </c>
      <c r="I250" t="s">
        <v>125</v>
      </c>
      <c r="J250" t="s">
        <v>894</v>
      </c>
      <c r="L250" t="s">
        <v>99</v>
      </c>
      <c r="M250" t="s">
        <v>100</v>
      </c>
      <c r="N250" t="s">
        <v>148</v>
      </c>
      <c r="O250" t="s">
        <v>127</v>
      </c>
      <c r="P250" t="str">
        <f>""</f>
        <v/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58.66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17.600000000000001</v>
      </c>
      <c r="BJ250">
        <v>8.9</v>
      </c>
      <c r="BK250">
        <v>18</v>
      </c>
      <c r="BL250">
        <v>158.52000000000001</v>
      </c>
      <c r="BM250">
        <v>23.78</v>
      </c>
      <c r="BN250">
        <v>182.3</v>
      </c>
      <c r="BO250">
        <v>182.3</v>
      </c>
      <c r="BQ250" t="s">
        <v>904</v>
      </c>
      <c r="BR250">
        <v>215103896</v>
      </c>
      <c r="BS250" s="3">
        <v>44830</v>
      </c>
      <c r="BT250" s="4">
        <v>0.48055555555555557</v>
      </c>
      <c r="BU250" t="s">
        <v>905</v>
      </c>
      <c r="BV250" t="s">
        <v>84</v>
      </c>
      <c r="BY250">
        <v>44535.6</v>
      </c>
      <c r="BZ250" t="s">
        <v>111</v>
      </c>
      <c r="CA250" t="s">
        <v>906</v>
      </c>
      <c r="CC250" t="s">
        <v>100</v>
      </c>
      <c r="CD250">
        <v>3625</v>
      </c>
      <c r="CE250" t="s">
        <v>86</v>
      </c>
      <c r="CI250">
        <v>4</v>
      </c>
      <c r="CJ250">
        <v>1</v>
      </c>
      <c r="CK250">
        <v>41</v>
      </c>
    </row>
    <row r="251" spans="1:89" x14ac:dyDescent="0.3">
      <c r="A251" t="s">
        <v>72</v>
      </c>
      <c r="B251" t="s">
        <v>73</v>
      </c>
      <c r="C251" t="s">
        <v>74</v>
      </c>
      <c r="E251" t="str">
        <f>"009942883222"</f>
        <v>009942883222</v>
      </c>
      <c r="F251" s="3">
        <v>44827</v>
      </c>
      <c r="G251">
        <v>202306</v>
      </c>
      <c r="H251" t="s">
        <v>87</v>
      </c>
      <c r="I251" t="s">
        <v>88</v>
      </c>
      <c r="J251" t="s">
        <v>414</v>
      </c>
      <c r="L251" t="s">
        <v>657</v>
      </c>
      <c r="M251" t="s">
        <v>658</v>
      </c>
      <c r="N251" t="s">
        <v>789</v>
      </c>
      <c r="O251" t="s">
        <v>81</v>
      </c>
      <c r="P251" t="str">
        <f>"J27455"</f>
        <v>J27455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130.41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6.8</v>
      </c>
      <c r="BJ251">
        <v>4.4000000000000004</v>
      </c>
      <c r="BK251">
        <v>7</v>
      </c>
      <c r="BL251">
        <v>340.75</v>
      </c>
      <c r="BM251">
        <v>51.11</v>
      </c>
      <c r="BN251">
        <v>391.86</v>
      </c>
      <c r="BO251">
        <v>391.86</v>
      </c>
      <c r="BQ251" t="s">
        <v>790</v>
      </c>
      <c r="BR251" t="s">
        <v>82</v>
      </c>
      <c r="BS251" s="3">
        <v>44830</v>
      </c>
      <c r="BT251" s="4">
        <v>0.43333333333333335</v>
      </c>
      <c r="BU251" t="s">
        <v>791</v>
      </c>
      <c r="BV251" t="s">
        <v>84</v>
      </c>
      <c r="BY251">
        <v>21831.75</v>
      </c>
      <c r="BZ251" t="s">
        <v>116</v>
      </c>
      <c r="CA251" t="s">
        <v>907</v>
      </c>
      <c r="CC251" t="s">
        <v>658</v>
      </c>
      <c r="CD251">
        <v>1438</v>
      </c>
      <c r="CE251" t="s">
        <v>86</v>
      </c>
      <c r="CI251">
        <v>1</v>
      </c>
      <c r="CJ251">
        <v>1</v>
      </c>
      <c r="CK251">
        <v>24</v>
      </c>
    </row>
    <row r="252" spans="1:89" x14ac:dyDescent="0.3">
      <c r="A252" t="s">
        <v>72</v>
      </c>
      <c r="B252" t="s">
        <v>73</v>
      </c>
      <c r="C252" t="s">
        <v>74</v>
      </c>
      <c r="E252" t="str">
        <f>"009942883218"</f>
        <v>009942883218</v>
      </c>
      <c r="F252" s="3">
        <v>44827</v>
      </c>
      <c r="G252">
        <v>202306</v>
      </c>
      <c r="H252" t="s">
        <v>87</v>
      </c>
      <c r="I252" t="s">
        <v>88</v>
      </c>
      <c r="J252" t="s">
        <v>414</v>
      </c>
      <c r="L252" t="s">
        <v>207</v>
      </c>
      <c r="M252" t="s">
        <v>208</v>
      </c>
      <c r="N252" t="s">
        <v>908</v>
      </c>
      <c r="O252" t="s">
        <v>81</v>
      </c>
      <c r="P252" t="str">
        <f>"J27856"</f>
        <v>J27856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66.62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3</v>
      </c>
      <c r="BJ252">
        <v>16.600000000000001</v>
      </c>
      <c r="BK252">
        <v>17</v>
      </c>
      <c r="BL252">
        <v>174.07</v>
      </c>
      <c r="BM252">
        <v>26.11</v>
      </c>
      <c r="BN252">
        <v>200.18</v>
      </c>
      <c r="BO252">
        <v>200.18</v>
      </c>
      <c r="BQ252" t="s">
        <v>148</v>
      </c>
      <c r="BR252" t="s">
        <v>82</v>
      </c>
      <c r="BS252" s="3">
        <v>44830</v>
      </c>
      <c r="BT252" s="4">
        <v>0.37361111111111112</v>
      </c>
      <c r="BU252" t="s">
        <v>909</v>
      </c>
      <c r="BV252" t="s">
        <v>84</v>
      </c>
      <c r="BY252">
        <v>82800</v>
      </c>
      <c r="BZ252" t="s">
        <v>116</v>
      </c>
      <c r="CA252" t="s">
        <v>219</v>
      </c>
      <c r="CC252" t="s">
        <v>208</v>
      </c>
      <c r="CD252">
        <v>2162</v>
      </c>
      <c r="CE252" t="s">
        <v>86</v>
      </c>
      <c r="CI252">
        <v>1</v>
      </c>
      <c r="CJ252">
        <v>1</v>
      </c>
      <c r="CK252">
        <v>22</v>
      </c>
    </row>
    <row r="253" spans="1:89" x14ac:dyDescent="0.3">
      <c r="A253" t="s">
        <v>72</v>
      </c>
      <c r="B253" t="s">
        <v>73</v>
      </c>
      <c r="C253" t="s">
        <v>74</v>
      </c>
      <c r="E253" t="str">
        <f>"009942581207"</f>
        <v>009942581207</v>
      </c>
      <c r="F253" s="3">
        <v>44826</v>
      </c>
      <c r="G253">
        <v>202306</v>
      </c>
      <c r="H253" t="s">
        <v>90</v>
      </c>
      <c r="I253" t="s">
        <v>91</v>
      </c>
      <c r="J253" t="s">
        <v>147</v>
      </c>
      <c r="L253" t="s">
        <v>910</v>
      </c>
      <c r="M253" t="s">
        <v>911</v>
      </c>
      <c r="N253" t="s">
        <v>148</v>
      </c>
      <c r="O253" t="s">
        <v>127</v>
      </c>
      <c r="P253" t="str">
        <f>"INV186507"</f>
        <v>INV186507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52.2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2.6</v>
      </c>
      <c r="BJ253">
        <v>10.5</v>
      </c>
      <c r="BK253">
        <v>11</v>
      </c>
      <c r="BL253">
        <v>141.65</v>
      </c>
      <c r="BM253">
        <v>21.25</v>
      </c>
      <c r="BN253">
        <v>162.9</v>
      </c>
      <c r="BO253">
        <v>162.9</v>
      </c>
      <c r="BQ253" t="s">
        <v>912</v>
      </c>
      <c r="BR253" t="s">
        <v>150</v>
      </c>
      <c r="BS253" t="s">
        <v>197</v>
      </c>
      <c r="BY253">
        <v>52302.6</v>
      </c>
      <c r="BZ253" t="s">
        <v>449</v>
      </c>
      <c r="CC253" t="s">
        <v>911</v>
      </c>
      <c r="CD253">
        <v>5264</v>
      </c>
      <c r="CE253" t="s">
        <v>86</v>
      </c>
      <c r="CI253">
        <v>4</v>
      </c>
      <c r="CJ253" t="s">
        <v>197</v>
      </c>
      <c r="CK253">
        <v>41</v>
      </c>
    </row>
    <row r="254" spans="1:89" x14ac:dyDescent="0.3">
      <c r="A254" t="s">
        <v>72</v>
      </c>
      <c r="B254" t="s">
        <v>73</v>
      </c>
      <c r="C254" t="s">
        <v>74</v>
      </c>
      <c r="E254" t="str">
        <f>"009942581221"</f>
        <v>009942581221</v>
      </c>
      <c r="F254" s="3">
        <v>44830</v>
      </c>
      <c r="G254">
        <v>202306</v>
      </c>
      <c r="H254" t="s">
        <v>90</v>
      </c>
      <c r="I254" t="s">
        <v>91</v>
      </c>
      <c r="J254" t="s">
        <v>147</v>
      </c>
      <c r="L254" t="s">
        <v>207</v>
      </c>
      <c r="M254" t="s">
        <v>208</v>
      </c>
      <c r="N254" t="s">
        <v>148</v>
      </c>
      <c r="O254" t="s">
        <v>127</v>
      </c>
      <c r="P254" t="str">
        <f>"INV186665"</f>
        <v>INV186665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52.2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0.4</v>
      </c>
      <c r="BJ254">
        <v>0.8</v>
      </c>
      <c r="BK254">
        <v>1</v>
      </c>
      <c r="BL254">
        <v>141.65</v>
      </c>
      <c r="BM254">
        <v>21.25</v>
      </c>
      <c r="BN254">
        <v>162.9</v>
      </c>
      <c r="BO254">
        <v>162.9</v>
      </c>
      <c r="BQ254" t="s">
        <v>913</v>
      </c>
      <c r="BR254" t="s">
        <v>150</v>
      </c>
      <c r="BS254" s="3">
        <v>44832</v>
      </c>
      <c r="BT254" s="4">
        <v>0.36319444444444443</v>
      </c>
      <c r="BU254" t="s">
        <v>914</v>
      </c>
      <c r="BV254" t="s">
        <v>84</v>
      </c>
      <c r="BY254">
        <v>4126.5</v>
      </c>
      <c r="BZ254" t="s">
        <v>111</v>
      </c>
      <c r="CA254" t="s">
        <v>645</v>
      </c>
      <c r="CC254" t="s">
        <v>208</v>
      </c>
      <c r="CD254">
        <v>2194</v>
      </c>
      <c r="CE254" t="s">
        <v>86</v>
      </c>
      <c r="CI254">
        <v>3</v>
      </c>
      <c r="CJ254">
        <v>2</v>
      </c>
      <c r="CK254">
        <v>41</v>
      </c>
    </row>
    <row r="255" spans="1:89" x14ac:dyDescent="0.3">
      <c r="A255" t="s">
        <v>72</v>
      </c>
      <c r="B255" t="s">
        <v>73</v>
      </c>
      <c r="C255" t="s">
        <v>74</v>
      </c>
      <c r="E255" t="str">
        <f>"009942581220"</f>
        <v>009942581220</v>
      </c>
      <c r="F255" s="3">
        <v>44830</v>
      </c>
      <c r="G255">
        <v>202306</v>
      </c>
      <c r="H255" t="s">
        <v>90</v>
      </c>
      <c r="I255" t="s">
        <v>91</v>
      </c>
      <c r="J255" t="s">
        <v>147</v>
      </c>
      <c r="L255" t="s">
        <v>118</v>
      </c>
      <c r="M255" t="s">
        <v>119</v>
      </c>
      <c r="N255" t="s">
        <v>148</v>
      </c>
      <c r="O255" t="s">
        <v>127</v>
      </c>
      <c r="P255" t="str">
        <f>"INV186658"</f>
        <v>INV186658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52.2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0.6</v>
      </c>
      <c r="BJ255">
        <v>2.4</v>
      </c>
      <c r="BK255">
        <v>3</v>
      </c>
      <c r="BL255">
        <v>141.65</v>
      </c>
      <c r="BM255">
        <v>21.25</v>
      </c>
      <c r="BN255">
        <v>162.9</v>
      </c>
      <c r="BO255">
        <v>162.9</v>
      </c>
      <c r="BQ255" t="s">
        <v>915</v>
      </c>
      <c r="BR255" t="s">
        <v>150</v>
      </c>
      <c r="BS255" s="3">
        <v>44832</v>
      </c>
      <c r="BT255" s="4">
        <v>0.51041666666666663</v>
      </c>
      <c r="BU255" t="s">
        <v>916</v>
      </c>
      <c r="BV255" t="s">
        <v>84</v>
      </c>
      <c r="BY255">
        <v>12196.8</v>
      </c>
      <c r="BZ255" t="s">
        <v>111</v>
      </c>
      <c r="CA255" t="s">
        <v>917</v>
      </c>
      <c r="CC255" t="s">
        <v>119</v>
      </c>
      <c r="CD255">
        <v>182</v>
      </c>
      <c r="CE255" t="s">
        <v>86</v>
      </c>
      <c r="CI255">
        <v>3</v>
      </c>
      <c r="CJ255">
        <v>2</v>
      </c>
      <c r="CK255">
        <v>41</v>
      </c>
    </row>
    <row r="256" spans="1:89" x14ac:dyDescent="0.3">
      <c r="A256" t="s">
        <v>72</v>
      </c>
      <c r="B256" t="s">
        <v>73</v>
      </c>
      <c r="C256" t="s">
        <v>74</v>
      </c>
      <c r="E256" t="str">
        <f>"009942581224"</f>
        <v>009942581224</v>
      </c>
      <c r="F256" s="3">
        <v>44830</v>
      </c>
      <c r="G256">
        <v>202306</v>
      </c>
      <c r="H256" t="s">
        <v>90</v>
      </c>
      <c r="I256" t="s">
        <v>91</v>
      </c>
      <c r="J256" t="s">
        <v>147</v>
      </c>
      <c r="L256" t="s">
        <v>918</v>
      </c>
      <c r="M256" t="s">
        <v>919</v>
      </c>
      <c r="N256" t="s">
        <v>148</v>
      </c>
      <c r="O256" t="s">
        <v>127</v>
      </c>
      <c r="P256" t="str">
        <f>"INV186674"</f>
        <v>INV186674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73.63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0.2</v>
      </c>
      <c r="BJ256">
        <v>0.6</v>
      </c>
      <c r="BK256">
        <v>1</v>
      </c>
      <c r="BL256">
        <v>197.63</v>
      </c>
      <c r="BM256">
        <v>29.64</v>
      </c>
      <c r="BN256">
        <v>227.27</v>
      </c>
      <c r="BO256">
        <v>227.27</v>
      </c>
      <c r="BQ256" t="s">
        <v>920</v>
      </c>
      <c r="BR256" t="s">
        <v>150</v>
      </c>
      <c r="BS256" s="3">
        <v>44832</v>
      </c>
      <c r="BT256" s="4">
        <v>0.50208333333333333</v>
      </c>
      <c r="BU256" t="s">
        <v>921</v>
      </c>
      <c r="BV256" t="s">
        <v>84</v>
      </c>
      <c r="BY256">
        <v>3024.84</v>
      </c>
      <c r="BZ256" t="s">
        <v>111</v>
      </c>
      <c r="CA256" t="s">
        <v>922</v>
      </c>
      <c r="CC256" t="s">
        <v>919</v>
      </c>
      <c r="CD256">
        <v>2571</v>
      </c>
      <c r="CE256" t="s">
        <v>86</v>
      </c>
      <c r="CI256">
        <v>4</v>
      </c>
      <c r="CJ256">
        <v>2</v>
      </c>
      <c r="CK256">
        <v>43</v>
      </c>
    </row>
    <row r="257" spans="1:89" x14ac:dyDescent="0.3">
      <c r="A257" t="s">
        <v>72</v>
      </c>
      <c r="B257" t="s">
        <v>73</v>
      </c>
      <c r="C257" t="s">
        <v>74</v>
      </c>
      <c r="E257" t="str">
        <f>"009942581223"</f>
        <v>009942581223</v>
      </c>
      <c r="F257" s="3">
        <v>44830</v>
      </c>
      <c r="G257">
        <v>202306</v>
      </c>
      <c r="H257" t="s">
        <v>90</v>
      </c>
      <c r="I257" t="s">
        <v>91</v>
      </c>
      <c r="J257" t="s">
        <v>147</v>
      </c>
      <c r="L257" t="s">
        <v>157</v>
      </c>
      <c r="M257" t="s">
        <v>158</v>
      </c>
      <c r="N257" t="s">
        <v>923</v>
      </c>
      <c r="O257" t="s">
        <v>127</v>
      </c>
      <c r="P257" t="str">
        <f>"INV186072"</f>
        <v>INV186072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57.65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0.2</v>
      </c>
      <c r="BJ257">
        <v>0.6</v>
      </c>
      <c r="BK257">
        <v>1</v>
      </c>
      <c r="BL257">
        <v>155.88999999999999</v>
      </c>
      <c r="BM257">
        <v>23.38</v>
      </c>
      <c r="BN257">
        <v>179.27</v>
      </c>
      <c r="BO257">
        <v>179.27</v>
      </c>
      <c r="BQ257" t="s">
        <v>924</v>
      </c>
      <c r="BR257" t="s">
        <v>150</v>
      </c>
      <c r="BS257" s="3">
        <v>44831</v>
      </c>
      <c r="BT257" s="4">
        <v>0.57708333333333328</v>
      </c>
      <c r="BU257" t="s">
        <v>925</v>
      </c>
      <c r="BV257" t="s">
        <v>84</v>
      </c>
      <c r="BY257">
        <v>3214.08</v>
      </c>
      <c r="BZ257" t="s">
        <v>111</v>
      </c>
      <c r="CA257" t="s">
        <v>162</v>
      </c>
      <c r="CC257" t="s">
        <v>158</v>
      </c>
      <c r="CD257">
        <v>7200</v>
      </c>
      <c r="CE257" t="s">
        <v>86</v>
      </c>
      <c r="CI257">
        <v>4</v>
      </c>
      <c r="CJ257">
        <v>1</v>
      </c>
      <c r="CK257">
        <v>44</v>
      </c>
    </row>
    <row r="258" spans="1:89" x14ac:dyDescent="0.3">
      <c r="A258" t="s">
        <v>72</v>
      </c>
      <c r="B258" t="s">
        <v>73</v>
      </c>
      <c r="C258" t="s">
        <v>74</v>
      </c>
      <c r="E258" t="str">
        <f>"009942581222"</f>
        <v>009942581222</v>
      </c>
      <c r="F258" s="3">
        <v>44830</v>
      </c>
      <c r="G258">
        <v>202306</v>
      </c>
      <c r="H258" t="s">
        <v>90</v>
      </c>
      <c r="I258" t="s">
        <v>91</v>
      </c>
      <c r="J258" t="s">
        <v>147</v>
      </c>
      <c r="L258" t="s">
        <v>926</v>
      </c>
      <c r="M258" t="s">
        <v>927</v>
      </c>
      <c r="N258" t="s">
        <v>928</v>
      </c>
      <c r="O258" t="s">
        <v>127</v>
      </c>
      <c r="P258" t="str">
        <f>"INV186666"</f>
        <v>INV186666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73.63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0.3</v>
      </c>
      <c r="BJ258">
        <v>2.4</v>
      </c>
      <c r="BK258">
        <v>3</v>
      </c>
      <c r="BL258">
        <v>197.63</v>
      </c>
      <c r="BM258">
        <v>29.64</v>
      </c>
      <c r="BN258">
        <v>227.27</v>
      </c>
      <c r="BO258">
        <v>227.27</v>
      </c>
      <c r="BQ258" t="s">
        <v>929</v>
      </c>
      <c r="BR258" t="s">
        <v>150</v>
      </c>
      <c r="BS258" s="3">
        <v>44832</v>
      </c>
      <c r="BT258" s="4">
        <v>0.6118055555555556</v>
      </c>
      <c r="BU258" t="s">
        <v>930</v>
      </c>
      <c r="BV258" t="s">
        <v>84</v>
      </c>
      <c r="BY258">
        <v>11857.5</v>
      </c>
      <c r="BZ258" t="s">
        <v>111</v>
      </c>
      <c r="CA258" t="s">
        <v>931</v>
      </c>
      <c r="CC258" t="s">
        <v>927</v>
      </c>
      <c r="CD258">
        <v>1035</v>
      </c>
      <c r="CE258" t="s">
        <v>86</v>
      </c>
      <c r="CI258">
        <v>4</v>
      </c>
      <c r="CJ258">
        <v>2</v>
      </c>
      <c r="CK258">
        <v>43</v>
      </c>
    </row>
    <row r="259" spans="1:89" x14ac:dyDescent="0.3">
      <c r="A259" t="s">
        <v>72</v>
      </c>
      <c r="B259" t="s">
        <v>73</v>
      </c>
      <c r="C259" t="s">
        <v>74</v>
      </c>
      <c r="E259" t="str">
        <f>"009942581225"</f>
        <v>009942581225</v>
      </c>
      <c r="F259" s="3">
        <v>44830</v>
      </c>
      <c r="G259">
        <v>202306</v>
      </c>
      <c r="H259" t="s">
        <v>90</v>
      </c>
      <c r="I259" t="s">
        <v>91</v>
      </c>
      <c r="J259" t="s">
        <v>147</v>
      </c>
      <c r="L259" t="s">
        <v>118</v>
      </c>
      <c r="M259" t="s">
        <v>119</v>
      </c>
      <c r="N259" t="s">
        <v>148</v>
      </c>
      <c r="O259" t="s">
        <v>127</v>
      </c>
      <c r="P259" t="str">
        <f>"INV186675"</f>
        <v>INV186675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52.2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0.6</v>
      </c>
      <c r="BJ259">
        <v>2.1</v>
      </c>
      <c r="BK259">
        <v>3</v>
      </c>
      <c r="BL259">
        <v>141.65</v>
      </c>
      <c r="BM259">
        <v>21.25</v>
      </c>
      <c r="BN259">
        <v>162.9</v>
      </c>
      <c r="BO259">
        <v>162.9</v>
      </c>
      <c r="BQ259" t="s">
        <v>932</v>
      </c>
      <c r="BR259" t="s">
        <v>150</v>
      </c>
      <c r="BS259" s="3">
        <v>44832</v>
      </c>
      <c r="BT259" s="4">
        <v>0.47013888888888888</v>
      </c>
      <c r="BU259" t="s">
        <v>933</v>
      </c>
      <c r="BV259" t="s">
        <v>84</v>
      </c>
      <c r="BY259">
        <v>10674.2</v>
      </c>
      <c r="BZ259" t="s">
        <v>111</v>
      </c>
      <c r="CA259" t="s">
        <v>156</v>
      </c>
      <c r="CC259" t="s">
        <v>119</v>
      </c>
      <c r="CD259">
        <v>1</v>
      </c>
      <c r="CE259" t="s">
        <v>86</v>
      </c>
      <c r="CI259">
        <v>3</v>
      </c>
      <c r="CJ259">
        <v>2</v>
      </c>
      <c r="CK259">
        <v>41</v>
      </c>
    </row>
    <row r="260" spans="1:89" x14ac:dyDescent="0.3">
      <c r="A260" t="s">
        <v>72</v>
      </c>
      <c r="B260" t="s">
        <v>73</v>
      </c>
      <c r="C260" t="s">
        <v>74</v>
      </c>
      <c r="E260" t="str">
        <f>"009942581219"</f>
        <v>009942581219</v>
      </c>
      <c r="F260" s="3">
        <v>44830</v>
      </c>
      <c r="G260">
        <v>202306</v>
      </c>
      <c r="H260" t="s">
        <v>90</v>
      </c>
      <c r="I260" t="s">
        <v>91</v>
      </c>
      <c r="J260" t="s">
        <v>147</v>
      </c>
      <c r="L260" t="s">
        <v>90</v>
      </c>
      <c r="M260" t="s">
        <v>91</v>
      </c>
      <c r="N260" t="s">
        <v>148</v>
      </c>
      <c r="O260" t="s">
        <v>127</v>
      </c>
      <c r="P260" t="str">
        <f>"INV186657"</f>
        <v>INV186657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40.28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0.6</v>
      </c>
      <c r="BJ260">
        <v>2.7</v>
      </c>
      <c r="BK260">
        <v>3</v>
      </c>
      <c r="BL260">
        <v>110.5</v>
      </c>
      <c r="BM260">
        <v>16.579999999999998</v>
      </c>
      <c r="BN260">
        <v>127.08</v>
      </c>
      <c r="BO260">
        <v>127.08</v>
      </c>
      <c r="BQ260" t="s">
        <v>934</v>
      </c>
      <c r="BR260" t="s">
        <v>150</v>
      </c>
      <c r="BS260" s="3">
        <v>44832</v>
      </c>
      <c r="BT260" s="4">
        <v>0.48680555555555555</v>
      </c>
      <c r="BU260" t="s">
        <v>935</v>
      </c>
      <c r="BV260" t="s">
        <v>97</v>
      </c>
      <c r="BY260">
        <v>13495.8</v>
      </c>
      <c r="BZ260" t="s">
        <v>111</v>
      </c>
      <c r="CA260" t="s">
        <v>152</v>
      </c>
      <c r="CC260" t="s">
        <v>91</v>
      </c>
      <c r="CD260">
        <v>7806</v>
      </c>
      <c r="CE260" t="s">
        <v>86</v>
      </c>
      <c r="CI260">
        <v>4</v>
      </c>
      <c r="CJ260">
        <v>2</v>
      </c>
      <c r="CK260">
        <v>42</v>
      </c>
    </row>
    <row r="261" spans="1:89" x14ac:dyDescent="0.3">
      <c r="A261" t="s">
        <v>72</v>
      </c>
      <c r="B261" t="s">
        <v>73</v>
      </c>
      <c r="C261" t="s">
        <v>74</v>
      </c>
      <c r="E261" t="str">
        <f>"009942621767"</f>
        <v>009942621767</v>
      </c>
      <c r="F261" s="3">
        <v>44830</v>
      </c>
      <c r="G261">
        <v>202306</v>
      </c>
      <c r="H261" t="s">
        <v>178</v>
      </c>
      <c r="I261" t="s">
        <v>179</v>
      </c>
      <c r="J261" t="s">
        <v>936</v>
      </c>
      <c r="L261" t="s">
        <v>78</v>
      </c>
      <c r="M261" t="s">
        <v>79</v>
      </c>
      <c r="N261" t="s">
        <v>937</v>
      </c>
      <c r="O261" t="s">
        <v>81</v>
      </c>
      <c r="P261" t="str">
        <f>""</f>
        <v/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134.91999999999999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7.5</v>
      </c>
      <c r="BJ261">
        <v>9.6</v>
      </c>
      <c r="BK261">
        <v>10</v>
      </c>
      <c r="BL261">
        <v>352.54</v>
      </c>
      <c r="BM261">
        <v>52.88</v>
      </c>
      <c r="BN261">
        <v>405.42</v>
      </c>
      <c r="BO261">
        <v>405.42</v>
      </c>
      <c r="BQ261" t="s">
        <v>938</v>
      </c>
      <c r="BS261" s="3">
        <v>44832</v>
      </c>
      <c r="BT261" s="4">
        <v>0.4284722222222222</v>
      </c>
      <c r="BU261" t="s">
        <v>939</v>
      </c>
      <c r="BV261" t="s">
        <v>97</v>
      </c>
      <c r="BY261">
        <v>48000</v>
      </c>
      <c r="BZ261" t="s">
        <v>116</v>
      </c>
      <c r="CA261" t="s">
        <v>350</v>
      </c>
      <c r="CC261" t="s">
        <v>79</v>
      </c>
      <c r="CD261">
        <v>6530</v>
      </c>
      <c r="CE261" t="s">
        <v>86</v>
      </c>
      <c r="CI261">
        <v>1</v>
      </c>
      <c r="CJ261">
        <v>2</v>
      </c>
      <c r="CK261">
        <v>21</v>
      </c>
    </row>
    <row r="262" spans="1:89" x14ac:dyDescent="0.3">
      <c r="A262" t="s">
        <v>72</v>
      </c>
      <c r="B262" t="s">
        <v>73</v>
      </c>
      <c r="C262" t="s">
        <v>74</v>
      </c>
      <c r="E262" t="str">
        <f>"009942873248"</f>
        <v>009942873248</v>
      </c>
      <c r="F262" s="3">
        <v>44830</v>
      </c>
      <c r="G262">
        <v>202306</v>
      </c>
      <c r="H262" t="s">
        <v>101</v>
      </c>
      <c r="I262" t="s">
        <v>102</v>
      </c>
      <c r="J262" t="s">
        <v>173</v>
      </c>
      <c r="L262" t="s">
        <v>90</v>
      </c>
      <c r="M262" t="s">
        <v>91</v>
      </c>
      <c r="N262" t="s">
        <v>89</v>
      </c>
      <c r="O262" t="s">
        <v>81</v>
      </c>
      <c r="P262" t="str">
        <f>""</f>
        <v/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26.99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1</v>
      </c>
      <c r="BJ262">
        <v>0.2</v>
      </c>
      <c r="BK262">
        <v>1</v>
      </c>
      <c r="BL262">
        <v>70.53</v>
      </c>
      <c r="BM262">
        <v>10.58</v>
      </c>
      <c r="BN262">
        <v>81.11</v>
      </c>
      <c r="BO262">
        <v>81.11</v>
      </c>
      <c r="BQ262" t="s">
        <v>109</v>
      </c>
      <c r="BR262" t="s">
        <v>176</v>
      </c>
      <c r="BS262" s="3">
        <v>44831</v>
      </c>
      <c r="BT262" s="4">
        <v>0.45833333333333331</v>
      </c>
      <c r="BU262" t="s">
        <v>746</v>
      </c>
      <c r="BV262" t="s">
        <v>84</v>
      </c>
      <c r="BY262">
        <v>1200</v>
      </c>
      <c r="BZ262" t="s">
        <v>116</v>
      </c>
      <c r="CA262" t="s">
        <v>284</v>
      </c>
      <c r="CC262" t="s">
        <v>91</v>
      </c>
      <c r="CD262">
        <v>7530</v>
      </c>
      <c r="CE262" t="s">
        <v>86</v>
      </c>
      <c r="CI262">
        <v>1</v>
      </c>
      <c r="CJ262">
        <v>1</v>
      </c>
      <c r="CK262">
        <v>21</v>
      </c>
    </row>
    <row r="263" spans="1:89" x14ac:dyDescent="0.3">
      <c r="A263" t="s">
        <v>72</v>
      </c>
      <c r="B263" t="s">
        <v>73</v>
      </c>
      <c r="C263" t="s">
        <v>74</v>
      </c>
      <c r="E263" t="str">
        <f>"009942873249"</f>
        <v>009942873249</v>
      </c>
      <c r="F263" s="3">
        <v>44830</v>
      </c>
      <c r="G263">
        <v>202306</v>
      </c>
      <c r="H263" t="s">
        <v>101</v>
      </c>
      <c r="I263" t="s">
        <v>102</v>
      </c>
      <c r="J263" t="s">
        <v>173</v>
      </c>
      <c r="L263" t="s">
        <v>87</v>
      </c>
      <c r="M263" t="s">
        <v>88</v>
      </c>
      <c r="N263" t="s">
        <v>89</v>
      </c>
      <c r="O263" t="s">
        <v>81</v>
      </c>
      <c r="P263" t="str">
        <f>""</f>
        <v/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26.99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1</v>
      </c>
      <c r="BJ263">
        <v>0.2</v>
      </c>
      <c r="BK263">
        <v>1</v>
      </c>
      <c r="BL263">
        <v>70.53</v>
      </c>
      <c r="BM263">
        <v>10.58</v>
      </c>
      <c r="BN263">
        <v>81.11</v>
      </c>
      <c r="BO263">
        <v>81.11</v>
      </c>
      <c r="BQ263" t="s">
        <v>940</v>
      </c>
      <c r="BR263" t="s">
        <v>176</v>
      </c>
      <c r="BS263" s="3">
        <v>44831</v>
      </c>
      <c r="BT263" s="4">
        <v>0.4375</v>
      </c>
      <c r="BU263" t="s">
        <v>868</v>
      </c>
      <c r="BV263" t="s">
        <v>84</v>
      </c>
      <c r="BY263">
        <v>1200</v>
      </c>
      <c r="BZ263" t="s">
        <v>116</v>
      </c>
      <c r="CA263" t="s">
        <v>435</v>
      </c>
      <c r="CC263" t="s">
        <v>88</v>
      </c>
      <c r="CD263">
        <v>1620</v>
      </c>
      <c r="CE263" t="s">
        <v>86</v>
      </c>
      <c r="CI263">
        <v>1</v>
      </c>
      <c r="CJ263">
        <v>1</v>
      </c>
      <c r="CK263">
        <v>21</v>
      </c>
    </row>
    <row r="264" spans="1:89" x14ac:dyDescent="0.3">
      <c r="A264" t="s">
        <v>72</v>
      </c>
      <c r="B264" t="s">
        <v>73</v>
      </c>
      <c r="C264" t="s">
        <v>74</v>
      </c>
      <c r="E264" t="str">
        <f>"009942883217"</f>
        <v>009942883217</v>
      </c>
      <c r="F264" s="3">
        <v>44830</v>
      </c>
      <c r="G264">
        <v>202306</v>
      </c>
      <c r="H264" t="s">
        <v>87</v>
      </c>
      <c r="I264" t="s">
        <v>88</v>
      </c>
      <c r="J264" t="s">
        <v>941</v>
      </c>
      <c r="L264" t="s">
        <v>87</v>
      </c>
      <c r="M264" t="s">
        <v>88</v>
      </c>
      <c r="N264" t="s">
        <v>254</v>
      </c>
      <c r="O264" t="s">
        <v>81</v>
      </c>
      <c r="P264" t="str">
        <f>"J27868"</f>
        <v>J27868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21.09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4.3</v>
      </c>
      <c r="BJ264">
        <v>1.2</v>
      </c>
      <c r="BK264">
        <v>4.5</v>
      </c>
      <c r="BL264">
        <v>55.1</v>
      </c>
      <c r="BM264">
        <v>8.27</v>
      </c>
      <c r="BN264">
        <v>63.37</v>
      </c>
      <c r="BO264">
        <v>63.37</v>
      </c>
      <c r="BQ264" t="s">
        <v>942</v>
      </c>
      <c r="BR264" t="s">
        <v>82</v>
      </c>
      <c r="BS264" s="3">
        <v>44831</v>
      </c>
      <c r="BT264" s="4">
        <v>0.3840277777777778</v>
      </c>
      <c r="BU264" t="s">
        <v>943</v>
      </c>
      <c r="BV264" t="s">
        <v>84</v>
      </c>
      <c r="BY264">
        <v>5937.12</v>
      </c>
      <c r="BZ264" t="s">
        <v>116</v>
      </c>
      <c r="CA264" t="s">
        <v>400</v>
      </c>
      <c r="CC264" t="s">
        <v>88</v>
      </c>
      <c r="CD264">
        <v>1610</v>
      </c>
      <c r="CE264" t="s">
        <v>86</v>
      </c>
      <c r="CI264">
        <v>1</v>
      </c>
      <c r="CJ264">
        <v>1</v>
      </c>
      <c r="CK264">
        <v>22</v>
      </c>
    </row>
    <row r="265" spans="1:89" x14ac:dyDescent="0.3">
      <c r="A265" t="s">
        <v>72</v>
      </c>
      <c r="B265" t="s">
        <v>73</v>
      </c>
      <c r="C265" t="s">
        <v>74</v>
      </c>
      <c r="E265" t="str">
        <f>"009942883215"</f>
        <v>009942883215</v>
      </c>
      <c r="F265" s="3">
        <v>44830</v>
      </c>
      <c r="G265">
        <v>202306</v>
      </c>
      <c r="H265" t="s">
        <v>87</v>
      </c>
      <c r="I265" t="s">
        <v>88</v>
      </c>
      <c r="J265" t="s">
        <v>941</v>
      </c>
      <c r="L265" t="s">
        <v>876</v>
      </c>
      <c r="M265" t="s">
        <v>877</v>
      </c>
      <c r="N265" t="s">
        <v>944</v>
      </c>
      <c r="O265" t="s">
        <v>81</v>
      </c>
      <c r="P265" t="str">
        <f>"J27881"</f>
        <v>J27881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21.09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0.2</v>
      </c>
      <c r="BJ265">
        <v>0.8</v>
      </c>
      <c r="BK265">
        <v>1</v>
      </c>
      <c r="BL265">
        <v>55.1</v>
      </c>
      <c r="BM265">
        <v>8.27</v>
      </c>
      <c r="BN265">
        <v>63.37</v>
      </c>
      <c r="BO265">
        <v>63.37</v>
      </c>
      <c r="BQ265" t="s">
        <v>945</v>
      </c>
      <c r="BR265" t="s">
        <v>82</v>
      </c>
      <c r="BS265" s="3">
        <v>44831</v>
      </c>
      <c r="BT265" s="4">
        <v>0.36249999999999999</v>
      </c>
      <c r="BU265" t="s">
        <v>946</v>
      </c>
      <c r="BV265" t="s">
        <v>84</v>
      </c>
      <c r="BY265">
        <v>3880.5</v>
      </c>
      <c r="BZ265" t="s">
        <v>116</v>
      </c>
      <c r="CA265" t="s">
        <v>880</v>
      </c>
      <c r="CC265" t="s">
        <v>877</v>
      </c>
      <c r="CD265">
        <v>1500</v>
      </c>
      <c r="CE265" t="s">
        <v>86</v>
      </c>
      <c r="CI265">
        <v>1</v>
      </c>
      <c r="CJ265">
        <v>1</v>
      </c>
      <c r="CK265">
        <v>22</v>
      </c>
    </row>
    <row r="266" spans="1:89" x14ac:dyDescent="0.3">
      <c r="A266" t="s">
        <v>72</v>
      </c>
      <c r="B266" t="s">
        <v>73</v>
      </c>
      <c r="C266" t="s">
        <v>74</v>
      </c>
      <c r="E266" t="str">
        <f>"009942883214"</f>
        <v>009942883214</v>
      </c>
      <c r="F266" s="3">
        <v>44830</v>
      </c>
      <c r="G266">
        <v>202306</v>
      </c>
      <c r="H266" t="s">
        <v>87</v>
      </c>
      <c r="I266" t="s">
        <v>88</v>
      </c>
      <c r="J266" t="s">
        <v>89</v>
      </c>
      <c r="L266" t="s">
        <v>231</v>
      </c>
      <c r="M266" t="s">
        <v>232</v>
      </c>
      <c r="N266" t="s">
        <v>947</v>
      </c>
      <c r="O266" t="s">
        <v>81</v>
      </c>
      <c r="P266" t="str">
        <f>"C21540"</f>
        <v>C21540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99.55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3.6</v>
      </c>
      <c r="BJ266">
        <v>1.3</v>
      </c>
      <c r="BK266">
        <v>4</v>
      </c>
      <c r="BL266">
        <v>260.11</v>
      </c>
      <c r="BM266">
        <v>39.020000000000003</v>
      </c>
      <c r="BN266">
        <v>299.13</v>
      </c>
      <c r="BO266">
        <v>299.13</v>
      </c>
      <c r="BQ266" t="s">
        <v>948</v>
      </c>
      <c r="BR266" t="s">
        <v>82</v>
      </c>
      <c r="BS266" s="3">
        <v>44831</v>
      </c>
      <c r="BT266" s="4">
        <v>0.6645833333333333</v>
      </c>
      <c r="BU266" t="s">
        <v>949</v>
      </c>
      <c r="BV266" t="s">
        <v>97</v>
      </c>
      <c r="BY266">
        <v>6388.48</v>
      </c>
      <c r="BZ266" t="s">
        <v>116</v>
      </c>
      <c r="CA266" t="s">
        <v>236</v>
      </c>
      <c r="CC266" t="s">
        <v>232</v>
      </c>
      <c r="CD266">
        <v>7129</v>
      </c>
      <c r="CE266" t="s">
        <v>86</v>
      </c>
      <c r="CI266">
        <v>1</v>
      </c>
      <c r="CJ266">
        <v>1</v>
      </c>
      <c r="CK266">
        <v>23</v>
      </c>
    </row>
    <row r="267" spans="1:89" x14ac:dyDescent="0.3">
      <c r="A267" t="s">
        <v>72</v>
      </c>
      <c r="B267" t="s">
        <v>73</v>
      </c>
      <c r="C267" t="s">
        <v>74</v>
      </c>
      <c r="E267" t="str">
        <f>"009942883213"</f>
        <v>009942883213</v>
      </c>
      <c r="F267" s="3">
        <v>44830</v>
      </c>
      <c r="G267">
        <v>202306</v>
      </c>
      <c r="H267" t="s">
        <v>87</v>
      </c>
      <c r="I267" t="s">
        <v>88</v>
      </c>
      <c r="J267" t="s">
        <v>89</v>
      </c>
      <c r="L267" t="s">
        <v>220</v>
      </c>
      <c r="M267" t="s">
        <v>221</v>
      </c>
      <c r="N267" t="s">
        <v>950</v>
      </c>
      <c r="O267" t="s">
        <v>81</v>
      </c>
      <c r="P267" t="str">
        <f>"J27820 J27855"</f>
        <v>J27820 J27855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21.09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3.3</v>
      </c>
      <c r="BJ267">
        <v>4.3</v>
      </c>
      <c r="BK267">
        <v>4.5</v>
      </c>
      <c r="BL267">
        <v>55.1</v>
      </c>
      <c r="BM267">
        <v>8.27</v>
      </c>
      <c r="BN267">
        <v>63.37</v>
      </c>
      <c r="BO267">
        <v>63.37</v>
      </c>
      <c r="BQ267" t="s">
        <v>951</v>
      </c>
      <c r="BR267" t="s">
        <v>82</v>
      </c>
      <c r="BS267" s="3">
        <v>44831</v>
      </c>
      <c r="BT267" s="4">
        <v>0.35416666666666669</v>
      </c>
      <c r="BU267" t="s">
        <v>952</v>
      </c>
      <c r="BV267" t="s">
        <v>84</v>
      </c>
      <c r="BY267">
        <v>21673.96</v>
      </c>
      <c r="BZ267" t="s">
        <v>116</v>
      </c>
      <c r="CA267" t="s">
        <v>735</v>
      </c>
      <c r="CC267" t="s">
        <v>221</v>
      </c>
      <c r="CD267">
        <v>1401</v>
      </c>
      <c r="CE267" t="s">
        <v>86</v>
      </c>
      <c r="CI267">
        <v>1</v>
      </c>
      <c r="CJ267">
        <v>1</v>
      </c>
      <c r="CK267">
        <v>22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sdrascd3-42500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2022-09-30T14:32:26Z</dcterms:created>
  <dcterms:modified xsi:type="dcterms:W3CDTF">2022-09-30T14:32:52Z</dcterms:modified>
</cp:coreProperties>
</file>